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i0024\Desktop\"/>
    </mc:Choice>
  </mc:AlternateContent>
  <xr:revisionPtr revIDLastSave="0" documentId="13_ncr:1_{EBDC16D4-1AC5-452D-B802-621B32D2685F}" xr6:coauthVersionLast="47" xr6:coauthVersionMax="47" xr10:uidLastSave="{00000000-0000-0000-0000-000000000000}"/>
  <bookViews>
    <workbookView xWindow="5520" yWindow="2325" windowWidth="21690" windowHeight="13665" tabRatio="730" firstSheet="3" activeTab="3" xr2:uid="{00000000-000D-0000-FFFF-FFFF00000000}"/>
  </bookViews>
  <sheets>
    <sheet name="車輪型式" sheetId="10" state="hidden" r:id="rId1"/>
    <sheet name="必要トルク計算書" sheetId="1" state="hidden" r:id="rId2"/>
    <sheet name="加速時間特性" sheetId="2" state="hidden" r:id="rId3"/>
    <sheet name="車輪モータの選定" sheetId="11" r:id="rId4"/>
    <sheet name="AWRⅡ010B" sheetId="3" state="hidden" r:id="rId5"/>
  </sheets>
  <definedNames>
    <definedName name="_xlnm.Print_Area" localSheetId="3">車輪モータの選定!$A$1:$S$35</definedName>
  </definedNames>
  <calcPr calcId="181029"/>
</workbook>
</file>

<file path=xl/calcChain.xml><?xml version="1.0" encoding="utf-8"?>
<calcChain xmlns="http://schemas.openxmlformats.org/spreadsheetml/2006/main">
  <c r="M114" i="1" l="1"/>
  <c r="K114" i="1"/>
  <c r="G107" i="1"/>
  <c r="I114" i="1"/>
  <c r="E114" i="1"/>
  <c r="E100" i="1"/>
  <c r="G114" i="1"/>
  <c r="G113" i="1"/>
  <c r="G112" i="1"/>
  <c r="G111" i="1"/>
  <c r="G110" i="1"/>
  <c r="G109" i="1"/>
  <c r="G108" i="1"/>
  <c r="G106" i="1"/>
  <c r="G105" i="1"/>
  <c r="G104" i="1"/>
  <c r="G103" i="1"/>
  <c r="G102" i="1"/>
  <c r="G101" i="1"/>
  <c r="G100" i="1"/>
  <c r="E91" i="1"/>
  <c r="E92" i="1"/>
  <c r="G98" i="1"/>
  <c r="F99" i="1" l="1"/>
  <c r="F100" i="1"/>
  <c r="C20" i="2"/>
  <c r="C4" i="3"/>
  <c r="C3" i="3"/>
  <c r="C6" i="3" l="1"/>
  <c r="D46" i="3" s="1"/>
  <c r="E46" i="3" s="1"/>
  <c r="F46" i="3" s="1"/>
  <c r="G46" i="3" s="1"/>
  <c r="C5" i="3"/>
  <c r="L46" i="3" s="1"/>
  <c r="M46" i="3" s="1"/>
  <c r="C2" i="3"/>
  <c r="C1" i="3"/>
  <c r="A9" i="3"/>
  <c r="D9" i="3" s="1"/>
  <c r="D69" i="1"/>
  <c r="D11" i="3"/>
  <c r="D12" i="3" s="1"/>
  <c r="D13" i="3" s="1"/>
  <c r="D14" i="3" s="1"/>
  <c r="D15" i="3" s="1"/>
  <c r="D16" i="3" s="1"/>
  <c r="D17" i="3" s="1"/>
  <c r="D18" i="3" s="1"/>
  <c r="D19" i="3" s="1"/>
  <c r="D20" i="3" s="1"/>
  <c r="A61" i="1"/>
  <c r="A62" i="1" s="1"/>
  <c r="A63" i="1" s="1"/>
  <c r="A64" i="1" s="1"/>
  <c r="A65" i="1" s="1"/>
  <c r="A66" i="1" s="1"/>
  <c r="A67" i="1" s="1"/>
  <c r="A68" i="1" s="1"/>
  <c r="A69" i="1" s="1"/>
  <c r="A60" i="1"/>
  <c r="B4" i="10"/>
  <c r="B5" i="10" s="1"/>
  <c r="B6" i="10" s="1"/>
  <c r="B7" i="10" s="1"/>
  <c r="B8" i="10" s="1"/>
  <c r="B3" i="10"/>
  <c r="L45" i="3" l="1"/>
  <c r="C13" i="3"/>
  <c r="P5" i="11" s="1"/>
  <c r="C14" i="3"/>
  <c r="C16" i="3"/>
  <c r="C17" i="3"/>
  <c r="C10" i="3"/>
  <c r="C18" i="3"/>
  <c r="C11" i="3"/>
  <c r="C19" i="3"/>
  <c r="C12" i="3"/>
  <c r="P6" i="11" l="1"/>
  <c r="C20" i="3"/>
  <c r="C23" i="3" s="1"/>
  <c r="K23" i="3" s="1"/>
  <c r="N39" i="1"/>
  <c r="C43" i="3" l="1"/>
  <c r="P7" i="11"/>
  <c r="N35" i="1"/>
  <c r="N44" i="1"/>
  <c r="N43" i="1"/>
  <c r="N42" i="1"/>
  <c r="N40" i="1"/>
  <c r="N38" i="1"/>
  <c r="D83" i="1" l="1"/>
  <c r="E78" i="1"/>
  <c r="E77" i="1"/>
  <c r="E76" i="1"/>
  <c r="E75" i="1"/>
  <c r="E74" i="1"/>
  <c r="D64" i="1"/>
  <c r="T42" i="1"/>
  <c r="T40" i="1"/>
  <c r="T39" i="1"/>
  <c r="T38" i="1"/>
  <c r="F68" i="1" l="1"/>
  <c r="H68" i="1" s="1"/>
  <c r="J68" i="1" s="1"/>
  <c r="L68" i="1" s="1"/>
  <c r="N68" i="1" s="1"/>
  <c r="P68" i="1" s="1"/>
  <c r="H2" i="2" l="1"/>
  <c r="G2" i="2"/>
  <c r="F2" i="2"/>
  <c r="D2" i="2"/>
  <c r="C2" i="2"/>
  <c r="B2" i="2"/>
  <c r="H69" i="1" l="1"/>
  <c r="F69" i="1"/>
  <c r="E83" i="1" l="1"/>
  <c r="C45" i="3" l="1"/>
  <c r="O22" i="3" l="1"/>
  <c r="K46" i="3"/>
  <c r="K45" i="3"/>
  <c r="A24" i="3" l="1"/>
  <c r="A25" i="3" s="1"/>
  <c r="G22" i="3"/>
  <c r="F22" i="3"/>
  <c r="E22" i="3"/>
  <c r="D22" i="3"/>
  <c r="B23" i="3" l="1"/>
  <c r="D47" i="3" s="1"/>
  <c r="D23" i="3" s="1"/>
  <c r="L22" i="3"/>
  <c r="N46" i="3"/>
  <c r="N22" i="3" s="1"/>
  <c r="A26" i="3"/>
  <c r="C25" i="3"/>
  <c r="K25" i="3" s="1"/>
  <c r="C47" i="3"/>
  <c r="K47" i="3" s="1"/>
  <c r="C24" i="3"/>
  <c r="P83" i="1"/>
  <c r="P81" i="1"/>
  <c r="N83" i="1"/>
  <c r="N81" i="1"/>
  <c r="L83" i="1"/>
  <c r="L81" i="1"/>
  <c r="J83" i="1"/>
  <c r="J81" i="1"/>
  <c r="E2" i="2" s="1"/>
  <c r="H83" i="1"/>
  <c r="I83" i="1" s="1"/>
  <c r="D3" i="2" s="1"/>
  <c r="H81" i="1"/>
  <c r="F83" i="1"/>
  <c r="G83" i="1" s="1"/>
  <c r="F81" i="1"/>
  <c r="M47" i="3" l="1"/>
  <c r="M23" i="3" s="1"/>
  <c r="L47" i="3"/>
  <c r="L23" i="3" s="1"/>
  <c r="N47" i="3"/>
  <c r="N23" i="3" s="1"/>
  <c r="O47" i="3"/>
  <c r="O23" i="3" s="1"/>
  <c r="M22" i="3"/>
  <c r="F47" i="3"/>
  <c r="F23" i="3" s="1"/>
  <c r="G47" i="3"/>
  <c r="G23" i="3" s="1"/>
  <c r="E47" i="3"/>
  <c r="E23" i="3" s="1"/>
  <c r="B24" i="3"/>
  <c r="K24" i="3"/>
  <c r="C49" i="3"/>
  <c r="K49" i="3" s="1"/>
  <c r="B25" i="3"/>
  <c r="C48" i="3"/>
  <c r="K48" i="3" s="1"/>
  <c r="A27" i="3"/>
  <c r="C26" i="3"/>
  <c r="K26" i="3" s="1"/>
  <c r="A3" i="2"/>
  <c r="C3" i="2"/>
  <c r="B3" i="2"/>
  <c r="P69" i="1"/>
  <c r="N69" i="1"/>
  <c r="L69" i="1"/>
  <c r="J69" i="1"/>
  <c r="K83" i="1" s="1"/>
  <c r="E3" i="2" s="1"/>
  <c r="D81" i="1"/>
  <c r="N13" i="1"/>
  <c r="N41" i="1" s="1"/>
  <c r="C84" i="1"/>
  <c r="J64" i="1"/>
  <c r="H64" i="1"/>
  <c r="F64" i="1"/>
  <c r="P64" i="1"/>
  <c r="N64" i="1"/>
  <c r="L64" i="1"/>
  <c r="T41" i="1" l="1"/>
  <c r="D84" i="1"/>
  <c r="E84" i="1" s="1"/>
  <c r="N45" i="1"/>
  <c r="T45" i="1" s="1"/>
  <c r="A4" i="2"/>
  <c r="P84" i="1"/>
  <c r="Q84" i="1" s="1"/>
  <c r="H4" i="2" s="1"/>
  <c r="N84" i="1"/>
  <c r="O84" i="1" s="1"/>
  <c r="G4" i="2" s="1"/>
  <c r="L84" i="1"/>
  <c r="M84" i="1" s="1"/>
  <c r="F4" i="2" s="1"/>
  <c r="J84" i="1"/>
  <c r="K84" i="1" s="1"/>
  <c r="E4" i="2" s="1"/>
  <c r="H84" i="1"/>
  <c r="I84" i="1" s="1"/>
  <c r="D4" i="2" s="1"/>
  <c r="F84" i="1"/>
  <c r="G84" i="1" s="1"/>
  <c r="C4" i="2" s="1"/>
  <c r="M83" i="1"/>
  <c r="F3" i="2" s="1"/>
  <c r="Q83" i="1"/>
  <c r="H3" i="2" s="1"/>
  <c r="O83" i="1"/>
  <c r="G3" i="2" s="1"/>
  <c r="M48" i="3"/>
  <c r="M24" i="3" s="1"/>
  <c r="L48" i="3"/>
  <c r="L24" i="3" s="1"/>
  <c r="O48" i="3"/>
  <c r="O24" i="3" s="1"/>
  <c r="N48" i="3"/>
  <c r="N24" i="3" s="1"/>
  <c r="O49" i="3"/>
  <c r="O25" i="3" s="1"/>
  <c r="N49" i="3"/>
  <c r="N25" i="3" s="1"/>
  <c r="M49" i="3"/>
  <c r="M25" i="3" s="1"/>
  <c r="L49" i="3"/>
  <c r="L25" i="3" s="1"/>
  <c r="C50" i="3"/>
  <c r="K50" i="3" s="1"/>
  <c r="B26" i="3"/>
  <c r="E48" i="3"/>
  <c r="E24" i="3" s="1"/>
  <c r="F48" i="3"/>
  <c r="F24" i="3" s="1"/>
  <c r="G49" i="3"/>
  <c r="G25" i="3" s="1"/>
  <c r="D49" i="3"/>
  <c r="D25" i="3" s="1"/>
  <c r="A28" i="3"/>
  <c r="C27" i="3"/>
  <c r="K27" i="3" s="1"/>
  <c r="G48" i="3"/>
  <c r="G24" i="3" s="1"/>
  <c r="D48" i="3"/>
  <c r="D24" i="3" s="1"/>
  <c r="E49" i="3"/>
  <c r="E25" i="3" s="1"/>
  <c r="F49" i="3"/>
  <c r="F25" i="3" s="1"/>
  <c r="C85" i="1"/>
  <c r="N37" i="1"/>
  <c r="T37" i="1" s="1"/>
  <c r="N36" i="1"/>
  <c r="T36" i="1" s="1"/>
  <c r="D85" i="1" l="1"/>
  <c r="E85" i="1" s="1"/>
  <c r="T35" i="1"/>
  <c r="N46" i="1"/>
  <c r="N47" i="1" s="1"/>
  <c r="J85" i="1"/>
  <c r="K85" i="1" s="1"/>
  <c r="E5" i="2" s="1"/>
  <c r="H85" i="1"/>
  <c r="I85" i="1" s="1"/>
  <c r="D5" i="2" s="1"/>
  <c r="P85" i="1"/>
  <c r="Q85" i="1" s="1"/>
  <c r="H5" i="2" s="1"/>
  <c r="N85" i="1"/>
  <c r="O85" i="1" s="1"/>
  <c r="G5" i="2" s="1"/>
  <c r="L85" i="1"/>
  <c r="M85" i="1" s="1"/>
  <c r="F5" i="2" s="1"/>
  <c r="F85" i="1"/>
  <c r="G85" i="1" s="1"/>
  <c r="C5" i="2" s="1"/>
  <c r="C86" i="1"/>
  <c r="M50" i="3"/>
  <c r="M26" i="3" s="1"/>
  <c r="L50" i="3"/>
  <c r="L26" i="3" s="1"/>
  <c r="O50" i="3"/>
  <c r="O26" i="3" s="1"/>
  <c r="N50" i="3"/>
  <c r="N26" i="3" s="1"/>
  <c r="C51" i="3"/>
  <c r="K51" i="3" s="1"/>
  <c r="B27" i="3"/>
  <c r="G50" i="3"/>
  <c r="G26" i="3" s="1"/>
  <c r="D50" i="3"/>
  <c r="D26" i="3" s="1"/>
  <c r="A29" i="3"/>
  <c r="C28" i="3"/>
  <c r="K28" i="3" s="1"/>
  <c r="E50" i="3"/>
  <c r="E26" i="3" s="1"/>
  <c r="F50" i="3"/>
  <c r="F26" i="3" s="1"/>
  <c r="B4" i="2"/>
  <c r="A5" i="2"/>
  <c r="B5" i="2" l="1"/>
  <c r="N49" i="1"/>
  <c r="T46" i="1"/>
  <c r="T47" i="1" s="1"/>
  <c r="T48" i="1" s="1"/>
  <c r="P86" i="1"/>
  <c r="Q86" i="1" s="1"/>
  <c r="H6" i="2" s="1"/>
  <c r="N86" i="1"/>
  <c r="O86" i="1" s="1"/>
  <c r="G6" i="2" s="1"/>
  <c r="L86" i="1"/>
  <c r="M86" i="1" s="1"/>
  <c r="F6" i="2" s="1"/>
  <c r="J86" i="1"/>
  <c r="K86" i="1" s="1"/>
  <c r="E6" i="2" s="1"/>
  <c r="H86" i="1"/>
  <c r="I86" i="1" s="1"/>
  <c r="D6" i="2" s="1"/>
  <c r="F86" i="1"/>
  <c r="G86" i="1" s="1"/>
  <c r="C6" i="2" s="1"/>
  <c r="C87" i="1"/>
  <c r="O51" i="3"/>
  <c r="O27" i="3" s="1"/>
  <c r="N51" i="3"/>
  <c r="N27" i="3" s="1"/>
  <c r="M51" i="3"/>
  <c r="M27" i="3" s="1"/>
  <c r="L51" i="3"/>
  <c r="L27" i="3" s="1"/>
  <c r="C52" i="3"/>
  <c r="K52" i="3" s="1"/>
  <c r="B28" i="3"/>
  <c r="G51" i="3"/>
  <c r="G27" i="3" s="1"/>
  <c r="D51" i="3"/>
  <c r="D27" i="3" s="1"/>
  <c r="A30" i="3"/>
  <c r="C29" i="3"/>
  <c r="K29" i="3" s="1"/>
  <c r="E51" i="3"/>
  <c r="E27" i="3" s="1"/>
  <c r="F51" i="3"/>
  <c r="F27" i="3" s="1"/>
  <c r="A6" i="2"/>
  <c r="D86" i="1"/>
  <c r="E86" i="1" s="1"/>
  <c r="B6" i="2" s="1"/>
  <c r="N48" i="1" l="1"/>
  <c r="T49" i="1"/>
  <c r="C88" i="1"/>
  <c r="D88" i="1" s="1"/>
  <c r="J87" i="1"/>
  <c r="K87" i="1" s="1"/>
  <c r="E7" i="2" s="1"/>
  <c r="H87" i="1"/>
  <c r="I87" i="1" s="1"/>
  <c r="D7" i="2" s="1"/>
  <c r="P87" i="1"/>
  <c r="Q87" i="1" s="1"/>
  <c r="H7" i="2" s="1"/>
  <c r="N87" i="1"/>
  <c r="O87" i="1" s="1"/>
  <c r="G7" i="2" s="1"/>
  <c r="L87" i="1"/>
  <c r="M87" i="1" s="1"/>
  <c r="F7" i="2" s="1"/>
  <c r="F87" i="1"/>
  <c r="G87" i="1" s="1"/>
  <c r="C7" i="2" s="1"/>
  <c r="M52" i="3"/>
  <c r="M28" i="3" s="1"/>
  <c r="L52" i="3"/>
  <c r="L28" i="3" s="1"/>
  <c r="O52" i="3"/>
  <c r="O28" i="3" s="1"/>
  <c r="N52" i="3"/>
  <c r="N28" i="3" s="1"/>
  <c r="C53" i="3"/>
  <c r="K53" i="3" s="1"/>
  <c r="B29" i="3"/>
  <c r="G52" i="3"/>
  <c r="G28" i="3" s="1"/>
  <c r="D52" i="3"/>
  <c r="D28" i="3" s="1"/>
  <c r="A31" i="3"/>
  <c r="C30" i="3"/>
  <c r="K30" i="3" s="1"/>
  <c r="E52" i="3"/>
  <c r="E28" i="3" s="1"/>
  <c r="F52" i="3"/>
  <c r="F28" i="3" s="1"/>
  <c r="A7" i="2"/>
  <c r="D87" i="1"/>
  <c r="P88" i="1" l="1"/>
  <c r="Q88" i="1" s="1"/>
  <c r="H8" i="2" s="1"/>
  <c r="N88" i="1"/>
  <c r="O88" i="1" s="1"/>
  <c r="G8" i="2" s="1"/>
  <c r="L88" i="1"/>
  <c r="M88" i="1" s="1"/>
  <c r="F8" i="2" s="1"/>
  <c r="J88" i="1"/>
  <c r="K88" i="1" s="1"/>
  <c r="E8" i="2" s="1"/>
  <c r="H88" i="1"/>
  <c r="I88" i="1" s="1"/>
  <c r="D8" i="2" s="1"/>
  <c r="F88" i="1"/>
  <c r="G88" i="1" s="1"/>
  <c r="C8" i="2" s="1"/>
  <c r="C89" i="1"/>
  <c r="O53" i="3"/>
  <c r="O29" i="3" s="1"/>
  <c r="N53" i="3"/>
  <c r="N29" i="3" s="1"/>
  <c r="M53" i="3"/>
  <c r="M29" i="3" s="1"/>
  <c r="L53" i="3"/>
  <c r="L29" i="3" s="1"/>
  <c r="A32" i="3"/>
  <c r="C31" i="3"/>
  <c r="K31" i="3" s="1"/>
  <c r="E53" i="3"/>
  <c r="E29" i="3" s="1"/>
  <c r="F53" i="3"/>
  <c r="F29" i="3" s="1"/>
  <c r="C54" i="3"/>
  <c r="K54" i="3" s="1"/>
  <c r="B30" i="3"/>
  <c r="G53" i="3"/>
  <c r="G29" i="3" s="1"/>
  <c r="D53" i="3"/>
  <c r="D29" i="3" s="1"/>
  <c r="E87" i="1"/>
  <c r="B7" i="2" s="1"/>
  <c r="A8" i="2"/>
  <c r="J89" i="1" l="1"/>
  <c r="K89" i="1" s="1"/>
  <c r="E9" i="2" s="1"/>
  <c r="H89" i="1"/>
  <c r="I89" i="1" s="1"/>
  <c r="D9" i="2" s="1"/>
  <c r="P89" i="1"/>
  <c r="Q89" i="1" s="1"/>
  <c r="H9" i="2" s="1"/>
  <c r="N89" i="1"/>
  <c r="O89" i="1" s="1"/>
  <c r="G9" i="2" s="1"/>
  <c r="L89" i="1"/>
  <c r="M89" i="1" s="1"/>
  <c r="F9" i="2" s="1"/>
  <c r="F89" i="1"/>
  <c r="G89" i="1" s="1"/>
  <c r="C9" i="2" s="1"/>
  <c r="C90" i="1"/>
  <c r="M54" i="3"/>
  <c r="M30" i="3" s="1"/>
  <c r="L54" i="3"/>
  <c r="L30" i="3" s="1"/>
  <c r="O54" i="3"/>
  <c r="O30" i="3" s="1"/>
  <c r="N54" i="3"/>
  <c r="N30" i="3" s="1"/>
  <c r="G54" i="3"/>
  <c r="G30" i="3" s="1"/>
  <c r="D54" i="3"/>
  <c r="D30" i="3" s="1"/>
  <c r="C55" i="3"/>
  <c r="K55" i="3" s="1"/>
  <c r="B31" i="3"/>
  <c r="E54" i="3"/>
  <c r="E30" i="3" s="1"/>
  <c r="F54" i="3"/>
  <c r="F30" i="3" s="1"/>
  <c r="A33" i="3"/>
  <c r="C32" i="3"/>
  <c r="K32" i="3" s="1"/>
  <c r="E88" i="1"/>
  <c r="B8" i="2" s="1"/>
  <c r="A9" i="2"/>
  <c r="D89" i="1"/>
  <c r="C91" i="1" l="1"/>
  <c r="P90" i="1"/>
  <c r="Q90" i="1" s="1"/>
  <c r="H10" i="2" s="1"/>
  <c r="N90" i="1"/>
  <c r="O90" i="1" s="1"/>
  <c r="G10" i="2" s="1"/>
  <c r="L90" i="1"/>
  <c r="M90" i="1" s="1"/>
  <c r="F10" i="2" s="1"/>
  <c r="J90" i="1"/>
  <c r="K90" i="1" s="1"/>
  <c r="E10" i="2" s="1"/>
  <c r="H90" i="1"/>
  <c r="I90" i="1" s="1"/>
  <c r="D10" i="2" s="1"/>
  <c r="F90" i="1"/>
  <c r="G90" i="1" s="1"/>
  <c r="C10" i="2" s="1"/>
  <c r="O55" i="3"/>
  <c r="O31" i="3" s="1"/>
  <c r="N55" i="3"/>
  <c r="N31" i="3" s="1"/>
  <c r="M55" i="3"/>
  <c r="M31" i="3" s="1"/>
  <c r="L55" i="3"/>
  <c r="L31" i="3" s="1"/>
  <c r="A34" i="3"/>
  <c r="C33" i="3"/>
  <c r="K33" i="3" s="1"/>
  <c r="E55" i="3"/>
  <c r="E31" i="3" s="1"/>
  <c r="F55" i="3"/>
  <c r="F31" i="3" s="1"/>
  <c r="C56" i="3"/>
  <c r="K56" i="3" s="1"/>
  <c r="B32" i="3"/>
  <c r="G55" i="3"/>
  <c r="G31" i="3" s="1"/>
  <c r="D55" i="3"/>
  <c r="D31" i="3" s="1"/>
  <c r="E89" i="1"/>
  <c r="B9" i="2" s="1"/>
  <c r="A10" i="2"/>
  <c r="D90" i="1"/>
  <c r="J91" i="1" l="1"/>
  <c r="K91" i="1" s="1"/>
  <c r="H91" i="1"/>
  <c r="I91" i="1" s="1"/>
  <c r="F91" i="1"/>
  <c r="G91" i="1" s="1"/>
  <c r="P91" i="1"/>
  <c r="Q91" i="1" s="1"/>
  <c r="N91" i="1"/>
  <c r="O91" i="1" s="1"/>
  <c r="L91" i="1"/>
  <c r="M91" i="1" s="1"/>
  <c r="F11" i="2" s="1"/>
  <c r="C92" i="1"/>
  <c r="M56" i="3"/>
  <c r="M32" i="3" s="1"/>
  <c r="L56" i="3"/>
  <c r="L32" i="3" s="1"/>
  <c r="O56" i="3"/>
  <c r="O32" i="3" s="1"/>
  <c r="N56" i="3"/>
  <c r="N32" i="3" s="1"/>
  <c r="G56" i="3"/>
  <c r="G32" i="3" s="1"/>
  <c r="D56" i="3"/>
  <c r="D32" i="3" s="1"/>
  <c r="C57" i="3"/>
  <c r="K57" i="3" s="1"/>
  <c r="B33" i="3"/>
  <c r="E56" i="3"/>
  <c r="E32" i="3" s="1"/>
  <c r="F56" i="3"/>
  <c r="F32" i="3" s="1"/>
  <c r="A35" i="3"/>
  <c r="C34" i="3"/>
  <c r="K34" i="3" s="1"/>
  <c r="E90" i="1"/>
  <c r="B10" i="2" s="1"/>
  <c r="A11" i="2"/>
  <c r="D91" i="1"/>
  <c r="P92" i="1" l="1"/>
  <c r="Q92" i="1" s="1"/>
  <c r="N92" i="1"/>
  <c r="O92" i="1" s="1"/>
  <c r="G12" i="2" s="1"/>
  <c r="B12" i="2"/>
  <c r="F92" i="1"/>
  <c r="G92" i="1" s="1"/>
  <c r="L92" i="1"/>
  <c r="M92" i="1" s="1"/>
  <c r="F12" i="2" s="1"/>
  <c r="J92" i="1"/>
  <c r="K92" i="1" s="1"/>
  <c r="H92" i="1"/>
  <c r="I92" i="1" s="1"/>
  <c r="C93" i="1"/>
  <c r="O57" i="3"/>
  <c r="O33" i="3" s="1"/>
  <c r="N57" i="3"/>
  <c r="N33" i="3" s="1"/>
  <c r="M57" i="3"/>
  <c r="M33" i="3" s="1"/>
  <c r="L57" i="3"/>
  <c r="L33" i="3" s="1"/>
  <c r="C58" i="3"/>
  <c r="K58" i="3" s="1"/>
  <c r="B34" i="3"/>
  <c r="G57" i="3"/>
  <c r="G33" i="3" s="1"/>
  <c r="D57" i="3"/>
  <c r="D33" i="3" s="1"/>
  <c r="A36" i="3"/>
  <c r="C35" i="3"/>
  <c r="K35" i="3" s="1"/>
  <c r="E57" i="3"/>
  <c r="E33" i="3" s="1"/>
  <c r="F57" i="3"/>
  <c r="F33" i="3" s="1"/>
  <c r="B11" i="2"/>
  <c r="D11" i="2"/>
  <c r="E11" i="2"/>
  <c r="H11" i="2"/>
  <c r="C11" i="2"/>
  <c r="G11" i="2"/>
  <c r="A12" i="2"/>
  <c r="D92" i="1"/>
  <c r="N93" i="1" l="1"/>
  <c r="O93" i="1" s="1"/>
  <c r="G13" i="2" s="1"/>
  <c r="P93" i="1"/>
  <c r="Q93" i="1" s="1"/>
  <c r="H93" i="1"/>
  <c r="I93" i="1" s="1"/>
  <c r="J93" i="1"/>
  <c r="K93" i="1" s="1"/>
  <c r="C94" i="1"/>
  <c r="L93" i="1"/>
  <c r="M93" i="1"/>
  <c r="F13" i="2" s="1"/>
  <c r="E93" i="1"/>
  <c r="B13" i="2" s="1"/>
  <c r="F93" i="1"/>
  <c r="G93" i="1" s="1"/>
  <c r="M58" i="3"/>
  <c r="M34" i="3" s="1"/>
  <c r="L58" i="3"/>
  <c r="L34" i="3" s="1"/>
  <c r="O58" i="3"/>
  <c r="O34" i="3" s="1"/>
  <c r="N58" i="3"/>
  <c r="N34" i="3" s="1"/>
  <c r="C59" i="3"/>
  <c r="K59" i="3" s="1"/>
  <c r="B35" i="3"/>
  <c r="G58" i="3"/>
  <c r="G34" i="3" s="1"/>
  <c r="D58" i="3"/>
  <c r="D34" i="3" s="1"/>
  <c r="A37" i="3"/>
  <c r="C36" i="3"/>
  <c r="K36" i="3" s="1"/>
  <c r="E58" i="3"/>
  <c r="E34" i="3" s="1"/>
  <c r="F58" i="3"/>
  <c r="F34" i="3" s="1"/>
  <c r="D12" i="2"/>
  <c r="H12" i="2"/>
  <c r="C12" i="2"/>
  <c r="E12" i="2"/>
  <c r="A13" i="2"/>
  <c r="D93" i="1"/>
  <c r="L94" i="1" l="1"/>
  <c r="M94" i="1"/>
  <c r="F14" i="2" s="1"/>
  <c r="E94" i="1"/>
  <c r="B14" i="2" s="1"/>
  <c r="F94" i="1"/>
  <c r="G94" i="1" s="1"/>
  <c r="P94" i="1"/>
  <c r="Q94" i="1" s="1"/>
  <c r="N94" i="1"/>
  <c r="O94" i="1" s="1"/>
  <c r="G14" i="2" s="1"/>
  <c r="J94" i="1"/>
  <c r="K94" i="1" s="1"/>
  <c r="H94" i="1"/>
  <c r="I94" i="1" s="1"/>
  <c r="C95" i="1"/>
  <c r="O59" i="3"/>
  <c r="O35" i="3" s="1"/>
  <c r="N59" i="3"/>
  <c r="N35" i="3" s="1"/>
  <c r="M59" i="3"/>
  <c r="M35" i="3" s="1"/>
  <c r="L59" i="3"/>
  <c r="L35" i="3" s="1"/>
  <c r="C60" i="3"/>
  <c r="K60" i="3" s="1"/>
  <c r="B36" i="3"/>
  <c r="G59" i="3"/>
  <c r="G35" i="3" s="1"/>
  <c r="D59" i="3"/>
  <c r="D35" i="3" s="1"/>
  <c r="A38" i="3"/>
  <c r="C37" i="3"/>
  <c r="K37" i="3" s="1"/>
  <c r="E59" i="3"/>
  <c r="E35" i="3" s="1"/>
  <c r="F59" i="3"/>
  <c r="F35" i="3" s="1"/>
  <c r="D13" i="2"/>
  <c r="H13" i="2"/>
  <c r="C13" i="2"/>
  <c r="E13" i="2"/>
  <c r="A14" i="2"/>
  <c r="D94" i="1"/>
  <c r="N95" i="1" l="1"/>
  <c r="O95" i="1" s="1"/>
  <c r="G15" i="2" s="1"/>
  <c r="P95" i="1"/>
  <c r="Q95" i="1" s="1"/>
  <c r="H95" i="1"/>
  <c r="I95" i="1" s="1"/>
  <c r="F95" i="1"/>
  <c r="G95" i="1" s="1"/>
  <c r="C96" i="1"/>
  <c r="L95" i="1"/>
  <c r="M95" i="1"/>
  <c r="F15" i="2" s="1"/>
  <c r="J95" i="1"/>
  <c r="K95" i="1" s="1"/>
  <c r="E95" i="1"/>
  <c r="B15" i="2" s="1"/>
  <c r="M60" i="3"/>
  <c r="M36" i="3" s="1"/>
  <c r="L60" i="3"/>
  <c r="L36" i="3" s="1"/>
  <c r="O60" i="3"/>
  <c r="O36" i="3" s="1"/>
  <c r="N60" i="3"/>
  <c r="N36" i="3" s="1"/>
  <c r="G60" i="3"/>
  <c r="G36" i="3" s="1"/>
  <c r="C61" i="3"/>
  <c r="K61" i="3" s="1"/>
  <c r="B37" i="3"/>
  <c r="D60" i="3"/>
  <c r="D36" i="3" s="1"/>
  <c r="A39" i="3"/>
  <c r="C38" i="3"/>
  <c r="K38" i="3" s="1"/>
  <c r="E60" i="3"/>
  <c r="E36" i="3" s="1"/>
  <c r="F60" i="3"/>
  <c r="F36" i="3" s="1"/>
  <c r="D14" i="2"/>
  <c r="H14" i="2"/>
  <c r="C14" i="2"/>
  <c r="E14" i="2"/>
  <c r="A15" i="2"/>
  <c r="D95" i="1"/>
  <c r="C97" i="1" l="1"/>
  <c r="L96" i="1"/>
  <c r="M96" i="1"/>
  <c r="F16" i="2" s="1"/>
  <c r="E96" i="1"/>
  <c r="B16" i="2" s="1"/>
  <c r="F96" i="1"/>
  <c r="G96" i="1" s="1"/>
  <c r="C16" i="2" s="1"/>
  <c r="P96" i="1"/>
  <c r="Q96" i="1" s="1"/>
  <c r="N96" i="1"/>
  <c r="O96" i="1" s="1"/>
  <c r="G16" i="2" s="1"/>
  <c r="J96" i="1"/>
  <c r="K96" i="1" s="1"/>
  <c r="H96" i="1"/>
  <c r="I96" i="1" s="1"/>
  <c r="O61" i="3"/>
  <c r="O37" i="3" s="1"/>
  <c r="N61" i="3"/>
  <c r="N37" i="3" s="1"/>
  <c r="G61" i="3"/>
  <c r="G37" i="3" s="1"/>
  <c r="M61" i="3"/>
  <c r="M37" i="3" s="1"/>
  <c r="L61" i="3"/>
  <c r="L37" i="3" s="1"/>
  <c r="A40" i="3"/>
  <c r="C39" i="3"/>
  <c r="K39" i="3" s="1"/>
  <c r="D61" i="3"/>
  <c r="D37" i="3" s="1"/>
  <c r="C62" i="3"/>
  <c r="K62" i="3" s="1"/>
  <c r="B38" i="3"/>
  <c r="E61" i="3"/>
  <c r="E37" i="3" s="1"/>
  <c r="F61" i="3"/>
  <c r="F37" i="3" s="1"/>
  <c r="D15" i="2"/>
  <c r="H15" i="2"/>
  <c r="C15" i="2"/>
  <c r="E15" i="2"/>
  <c r="A16" i="2"/>
  <c r="D96" i="1"/>
  <c r="O97" i="1" l="1"/>
  <c r="G17" i="2" s="1"/>
  <c r="P97" i="1"/>
  <c r="Q97" i="1" s="1"/>
  <c r="M97" i="1"/>
  <c r="F17" i="2" s="1"/>
  <c r="E97" i="1"/>
  <c r="B17" i="2" s="1"/>
  <c r="F97" i="1"/>
  <c r="G97" i="1" s="1"/>
  <c r="C17" i="2" s="1"/>
  <c r="L97" i="1"/>
  <c r="N97" i="1"/>
  <c r="H97" i="1"/>
  <c r="I97" i="1" s="1"/>
  <c r="J97" i="1"/>
  <c r="K97" i="1" s="1"/>
  <c r="C98" i="1"/>
  <c r="M62" i="3"/>
  <c r="M38" i="3" s="1"/>
  <c r="L62" i="3"/>
  <c r="L38" i="3" s="1"/>
  <c r="O62" i="3"/>
  <c r="O38" i="3" s="1"/>
  <c r="N62" i="3"/>
  <c r="N38" i="3" s="1"/>
  <c r="G62" i="3"/>
  <c r="G38" i="3" s="1"/>
  <c r="D62" i="3"/>
  <c r="D38" i="3" s="1"/>
  <c r="C63" i="3"/>
  <c r="K63" i="3" s="1"/>
  <c r="B39" i="3"/>
  <c r="E62" i="3"/>
  <c r="E38" i="3" s="1"/>
  <c r="F62" i="3"/>
  <c r="F38" i="3" s="1"/>
  <c r="A41" i="3"/>
  <c r="C40" i="3"/>
  <c r="K40" i="3" s="1"/>
  <c r="D16" i="2"/>
  <c r="H16" i="2"/>
  <c r="E16" i="2"/>
  <c r="A17" i="2"/>
  <c r="D97" i="1"/>
  <c r="P98" i="1" l="1"/>
  <c r="Q98" i="1" s="1"/>
  <c r="L98" i="1"/>
  <c r="M98" i="1"/>
  <c r="F18" i="2" s="1"/>
  <c r="F98" i="1"/>
  <c r="C18" i="2" s="1"/>
  <c r="H98" i="1"/>
  <c r="I98" i="1" s="1"/>
  <c r="C99" i="1"/>
  <c r="O98" i="1"/>
  <c r="G18" i="2" s="1"/>
  <c r="N98" i="1"/>
  <c r="J98" i="1"/>
  <c r="K98" i="1" s="1"/>
  <c r="E98" i="1"/>
  <c r="B18" i="2" s="1"/>
  <c r="O63" i="3"/>
  <c r="O39" i="3" s="1"/>
  <c r="N63" i="3"/>
  <c r="N39" i="3" s="1"/>
  <c r="M63" i="3"/>
  <c r="M39" i="3" s="1"/>
  <c r="L63" i="3"/>
  <c r="L39" i="3" s="1"/>
  <c r="G63" i="3"/>
  <c r="G39" i="3" s="1"/>
  <c r="D63" i="3"/>
  <c r="D39" i="3" s="1"/>
  <c r="C64" i="3"/>
  <c r="K64" i="3" s="1"/>
  <c r="B40" i="3"/>
  <c r="A42" i="3"/>
  <c r="C41" i="3"/>
  <c r="K41" i="3" s="1"/>
  <c r="E63" i="3"/>
  <c r="E39" i="3" s="1"/>
  <c r="F63" i="3"/>
  <c r="F39" i="3" s="1"/>
  <c r="D17" i="2"/>
  <c r="H17" i="2"/>
  <c r="E17" i="2"/>
  <c r="A18" i="2"/>
  <c r="D98" i="1"/>
  <c r="L99" i="1" l="1"/>
  <c r="N99" i="1"/>
  <c r="H99" i="1"/>
  <c r="I99" i="1" s="1"/>
  <c r="G99" i="1"/>
  <c r="C19" i="2" s="1"/>
  <c r="C100" i="1"/>
  <c r="O99" i="1"/>
  <c r="G19" i="2" s="1"/>
  <c r="P99" i="1"/>
  <c r="Q99" i="1" s="1"/>
  <c r="M99" i="1"/>
  <c r="F19" i="2" s="1"/>
  <c r="J99" i="1"/>
  <c r="K99" i="1" s="1"/>
  <c r="E99" i="1"/>
  <c r="B19" i="2" s="1"/>
  <c r="M64" i="3"/>
  <c r="M40" i="3" s="1"/>
  <c r="L64" i="3"/>
  <c r="L40" i="3" s="1"/>
  <c r="O64" i="3"/>
  <c r="O40" i="3" s="1"/>
  <c r="N64" i="3"/>
  <c r="N40" i="3" s="1"/>
  <c r="G64" i="3"/>
  <c r="G40" i="3" s="1"/>
  <c r="A43" i="3"/>
  <c r="C42" i="3"/>
  <c r="K42" i="3" s="1"/>
  <c r="D64" i="3"/>
  <c r="D40" i="3" s="1"/>
  <c r="C65" i="3"/>
  <c r="K65" i="3" s="1"/>
  <c r="B41" i="3"/>
  <c r="E64" i="3"/>
  <c r="E40" i="3" s="1"/>
  <c r="F64" i="3"/>
  <c r="F40" i="3" s="1"/>
  <c r="H18" i="2"/>
  <c r="D18" i="2"/>
  <c r="E18" i="2"/>
  <c r="A19" i="2"/>
  <c r="D99" i="1"/>
  <c r="N67" i="3" l="1"/>
  <c r="N43" i="3" s="1"/>
  <c r="L67" i="3"/>
  <c r="L43" i="3" s="1"/>
  <c r="K43" i="3"/>
  <c r="O67" i="3"/>
  <c r="O43" i="3" s="1"/>
  <c r="M67" i="3"/>
  <c r="M43" i="3" s="1"/>
  <c r="O100" i="1"/>
  <c r="G20" i="2" s="1"/>
  <c r="N100" i="1"/>
  <c r="J100" i="1"/>
  <c r="K100" i="1" s="1"/>
  <c r="B20" i="2"/>
  <c r="C101" i="1"/>
  <c r="P100" i="1"/>
  <c r="Q100" i="1" s="1"/>
  <c r="H20" i="2" s="1"/>
  <c r="L100" i="1"/>
  <c r="M100" i="1"/>
  <c r="F20" i="2" s="1"/>
  <c r="H100" i="1"/>
  <c r="I100" i="1" s="1"/>
  <c r="O65" i="3"/>
  <c r="O41" i="3" s="1"/>
  <c r="N65" i="3"/>
  <c r="N41" i="3" s="1"/>
  <c r="M65" i="3"/>
  <c r="M41" i="3" s="1"/>
  <c r="L65" i="3"/>
  <c r="L41" i="3" s="1"/>
  <c r="G65" i="3"/>
  <c r="G41" i="3" s="1"/>
  <c r="D65" i="3"/>
  <c r="D41" i="3" s="1"/>
  <c r="C66" i="3"/>
  <c r="K66" i="3" s="1"/>
  <c r="B42" i="3"/>
  <c r="E65" i="3"/>
  <c r="E41" i="3" s="1"/>
  <c r="F65" i="3"/>
  <c r="F41" i="3" s="1"/>
  <c r="F67" i="3"/>
  <c r="F43" i="3" s="1"/>
  <c r="D67" i="3"/>
  <c r="D43" i="3" s="1"/>
  <c r="G67" i="3"/>
  <c r="G43" i="3" s="1"/>
  <c r="E67" i="3"/>
  <c r="E43" i="3" s="1"/>
  <c r="C67" i="3"/>
  <c r="K67" i="3" s="1"/>
  <c r="B43" i="3"/>
  <c r="D19" i="2"/>
  <c r="H19" i="2"/>
  <c r="E19" i="2"/>
  <c r="A20" i="2"/>
  <c r="D100" i="1"/>
  <c r="L101" i="1" l="1"/>
  <c r="N101" i="1"/>
  <c r="H101" i="1"/>
  <c r="I101" i="1" s="1"/>
  <c r="E101" i="1"/>
  <c r="B21" i="2" s="1"/>
  <c r="C21" i="2"/>
  <c r="O101" i="1"/>
  <c r="G21" i="2" s="1"/>
  <c r="P101" i="1"/>
  <c r="Q101" i="1" s="1"/>
  <c r="H21" i="2" s="1"/>
  <c r="M101" i="1"/>
  <c r="F21" i="2" s="1"/>
  <c r="F101" i="1"/>
  <c r="J101" i="1"/>
  <c r="K101" i="1" s="1"/>
  <c r="C102" i="1"/>
  <c r="M66" i="3"/>
  <c r="M42" i="3" s="1"/>
  <c r="L66" i="3"/>
  <c r="L42" i="3" s="1"/>
  <c r="O66" i="3"/>
  <c r="O42" i="3" s="1"/>
  <c r="N66" i="3"/>
  <c r="N42" i="3" s="1"/>
  <c r="G66" i="3"/>
  <c r="G42" i="3" s="1"/>
  <c r="D66" i="3"/>
  <c r="D42" i="3" s="1"/>
  <c r="E66" i="3"/>
  <c r="E42" i="3" s="1"/>
  <c r="F66" i="3"/>
  <c r="F42" i="3" s="1"/>
  <c r="D20" i="2"/>
  <c r="E20" i="2"/>
  <c r="A21" i="2"/>
  <c r="D101" i="1"/>
  <c r="O102" i="1" l="1"/>
  <c r="G22" i="2" s="1"/>
  <c r="N102" i="1"/>
  <c r="J102" i="1"/>
  <c r="K102" i="1" s="1"/>
  <c r="E102" i="1"/>
  <c r="B22" i="2" s="1"/>
  <c r="C22" i="2"/>
  <c r="P102" i="1"/>
  <c r="Q102" i="1" s="1"/>
  <c r="H22" i="2" s="1"/>
  <c r="L102" i="1"/>
  <c r="M102" i="1"/>
  <c r="F22" i="2" s="1"/>
  <c r="F102" i="1"/>
  <c r="H102" i="1"/>
  <c r="I102" i="1" s="1"/>
  <c r="C103" i="1"/>
  <c r="D21" i="2"/>
  <c r="E21" i="2"/>
  <c r="A22" i="2"/>
  <c r="D102" i="1"/>
  <c r="O103" i="1" l="1"/>
  <c r="G23" i="2" s="1"/>
  <c r="P103" i="1"/>
  <c r="Q103" i="1" s="1"/>
  <c r="H23" i="2" s="1"/>
  <c r="M103" i="1"/>
  <c r="F23" i="2" s="1"/>
  <c r="F103" i="1"/>
  <c r="C23" i="2"/>
  <c r="C104" i="1"/>
  <c r="L103" i="1"/>
  <c r="N103" i="1"/>
  <c r="H103" i="1"/>
  <c r="I103" i="1" s="1"/>
  <c r="J103" i="1"/>
  <c r="K103" i="1" s="1"/>
  <c r="E103" i="1"/>
  <c r="B23" i="2" s="1"/>
  <c r="D22" i="2"/>
  <c r="E22" i="2"/>
  <c r="A23" i="2"/>
  <c r="D103" i="1"/>
  <c r="O104" i="1" l="1"/>
  <c r="G24" i="2" s="1"/>
  <c r="N104" i="1"/>
  <c r="J104" i="1"/>
  <c r="K104" i="1" s="1"/>
  <c r="E104" i="1"/>
  <c r="B24" i="2" s="1"/>
  <c r="C24" i="2"/>
  <c r="P104" i="1"/>
  <c r="Q104" i="1" s="1"/>
  <c r="H24" i="2" s="1"/>
  <c r="L104" i="1"/>
  <c r="M104" i="1"/>
  <c r="F24" i="2" s="1"/>
  <c r="F104" i="1"/>
  <c r="H104" i="1"/>
  <c r="I104" i="1" s="1"/>
  <c r="D24" i="2" s="1"/>
  <c r="C105" i="1"/>
  <c r="D23" i="2"/>
  <c r="E23" i="2"/>
  <c r="A24" i="2"/>
  <c r="D104" i="1"/>
  <c r="O105" i="1" l="1"/>
  <c r="G25" i="2" s="1"/>
  <c r="Q105" i="1"/>
  <c r="H25" i="2" s="1"/>
  <c r="M105" i="1"/>
  <c r="F25" i="2" s="1"/>
  <c r="F105" i="1"/>
  <c r="J105" i="1"/>
  <c r="K105" i="1" s="1"/>
  <c r="P105" i="1"/>
  <c r="L105" i="1"/>
  <c r="N105" i="1"/>
  <c r="H105" i="1"/>
  <c r="I105" i="1" s="1"/>
  <c r="D25" i="2" s="1"/>
  <c r="E105" i="1"/>
  <c r="B25" i="2" s="1"/>
  <c r="C25" i="2"/>
  <c r="C106" i="1"/>
  <c r="E24" i="2"/>
  <c r="A25" i="2"/>
  <c r="D105" i="1"/>
  <c r="O106" i="1" l="1"/>
  <c r="G26" i="2" s="1"/>
  <c r="Q106" i="1"/>
  <c r="H26" i="2" s="1"/>
  <c r="M106" i="1"/>
  <c r="F26" i="2" s="1"/>
  <c r="F106" i="1"/>
  <c r="H106" i="1"/>
  <c r="I106" i="1" s="1"/>
  <c r="D26" i="2" s="1"/>
  <c r="C107" i="1"/>
  <c r="P106" i="1"/>
  <c r="L106" i="1"/>
  <c r="N106" i="1"/>
  <c r="J106" i="1"/>
  <c r="K106" i="1" s="1"/>
  <c r="E106" i="1"/>
  <c r="B26" i="2" s="1"/>
  <c r="C26" i="2"/>
  <c r="E25" i="2"/>
  <c r="A26" i="2"/>
  <c r="D106" i="1"/>
  <c r="O107" i="1" l="1"/>
  <c r="G27" i="2" s="1"/>
  <c r="Q107" i="1"/>
  <c r="H27" i="2" s="1"/>
  <c r="M107" i="1"/>
  <c r="F27" i="2" s="1"/>
  <c r="F107" i="1"/>
  <c r="J107" i="1"/>
  <c r="K107" i="1" s="1"/>
  <c r="C108" i="1"/>
  <c r="P107" i="1"/>
  <c r="L107" i="1"/>
  <c r="N107" i="1"/>
  <c r="H107" i="1"/>
  <c r="I107" i="1" s="1"/>
  <c r="D27" i="2" s="1"/>
  <c r="E107" i="1"/>
  <c r="B27" i="2" s="1"/>
  <c r="C27" i="2"/>
  <c r="E26" i="2"/>
  <c r="A27" i="2"/>
  <c r="D107" i="1"/>
  <c r="O108" i="1" l="1"/>
  <c r="G28" i="2" s="1"/>
  <c r="Q108" i="1"/>
  <c r="H28" i="2" s="1"/>
  <c r="M108" i="1"/>
  <c r="F28" i="2" s="1"/>
  <c r="F108" i="1"/>
  <c r="H108" i="1"/>
  <c r="I108" i="1" s="1"/>
  <c r="D28" i="2" s="1"/>
  <c r="C109" i="1"/>
  <c r="P108" i="1"/>
  <c r="L108" i="1"/>
  <c r="N108" i="1"/>
  <c r="J108" i="1"/>
  <c r="K108" i="1" s="1"/>
  <c r="E108" i="1"/>
  <c r="B28" i="2" s="1"/>
  <c r="C28" i="2"/>
  <c r="E27" i="2"/>
  <c r="A28" i="2"/>
  <c r="D108" i="1"/>
  <c r="I109" i="1" l="1"/>
  <c r="D29" i="2" s="1"/>
  <c r="N109" i="1"/>
  <c r="C110" i="1"/>
  <c r="O109" i="1"/>
  <c r="G29" i="2" s="1"/>
  <c r="Q109" i="1"/>
  <c r="H29" i="2" s="1"/>
  <c r="M109" i="1"/>
  <c r="F29" i="2" s="1"/>
  <c r="J109" i="1"/>
  <c r="K109" i="1" s="1"/>
  <c r="E29" i="2" s="1"/>
  <c r="C29" i="2"/>
  <c r="P109" i="1"/>
  <c r="L109" i="1"/>
  <c r="F109" i="1"/>
  <c r="H109" i="1"/>
  <c r="E109" i="1"/>
  <c r="B29" i="2" s="1"/>
  <c r="E28" i="2"/>
  <c r="A29" i="2"/>
  <c r="D109" i="1"/>
  <c r="P110" i="1" l="1"/>
  <c r="L110" i="1"/>
  <c r="N110" i="1"/>
  <c r="J110" i="1"/>
  <c r="K110" i="1" s="1"/>
  <c r="E30" i="2" s="1"/>
  <c r="F110" i="1"/>
  <c r="H110" i="1"/>
  <c r="C111" i="1"/>
  <c r="O110" i="1"/>
  <c r="G30" i="2" s="1"/>
  <c r="Q110" i="1"/>
  <c r="H30" i="2" s="1"/>
  <c r="M110" i="1"/>
  <c r="F30" i="2" s="1"/>
  <c r="I110" i="1"/>
  <c r="D30" i="2" s="1"/>
  <c r="E110" i="1"/>
  <c r="B30" i="2" s="1"/>
  <c r="C30" i="2"/>
  <c r="A30" i="2"/>
  <c r="D110" i="1"/>
  <c r="P111" i="1" l="1"/>
  <c r="L111" i="1"/>
  <c r="N111" i="1"/>
  <c r="I111" i="1"/>
  <c r="D31" i="2" s="1"/>
  <c r="E111" i="1"/>
  <c r="B31" i="2" s="1"/>
  <c r="H111" i="1"/>
  <c r="C112" i="1"/>
  <c r="O111" i="1"/>
  <c r="G31" i="2" s="1"/>
  <c r="Q111" i="1"/>
  <c r="H31" i="2" s="1"/>
  <c r="M111" i="1"/>
  <c r="F31" i="2" s="1"/>
  <c r="F111" i="1"/>
  <c r="J111" i="1"/>
  <c r="K111" i="1" s="1"/>
  <c r="E31" i="2" s="1"/>
  <c r="C31" i="2"/>
  <c r="A31" i="2"/>
  <c r="D111" i="1"/>
  <c r="C113" i="1" l="1"/>
  <c r="O112" i="1"/>
  <c r="G32" i="2" s="1"/>
  <c r="N112" i="1"/>
  <c r="J112" i="1"/>
  <c r="K112" i="1" s="1"/>
  <c r="E32" i="2" s="1"/>
  <c r="F112" i="1"/>
  <c r="H112" i="1"/>
  <c r="P112" i="1"/>
  <c r="L112" i="1"/>
  <c r="Q112" i="1"/>
  <c r="H32" i="2" s="1"/>
  <c r="M112" i="1"/>
  <c r="F32" i="2" s="1"/>
  <c r="I112" i="1"/>
  <c r="D32" i="2" s="1"/>
  <c r="E112" i="1"/>
  <c r="B32" i="2" s="1"/>
  <c r="C32" i="2"/>
  <c r="A32" i="2"/>
  <c r="D112" i="1"/>
  <c r="P113" i="1" l="1"/>
  <c r="L113" i="1"/>
  <c r="Q113" i="1"/>
  <c r="H33" i="2" s="1"/>
  <c r="M113" i="1"/>
  <c r="F33" i="2" s="1"/>
  <c r="F113" i="1"/>
  <c r="H113" i="1"/>
  <c r="E113" i="1"/>
  <c r="B33" i="2" s="1"/>
  <c r="C114" i="1"/>
  <c r="O113" i="1"/>
  <c r="G33" i="2" s="1"/>
  <c r="J113" i="1"/>
  <c r="N113" i="1"/>
  <c r="I113" i="1"/>
  <c r="D33" i="2" s="1"/>
  <c r="K113" i="1"/>
  <c r="E33" i="2" s="1"/>
  <c r="C33" i="2"/>
  <c r="A33" i="2"/>
  <c r="D113" i="1"/>
  <c r="O114" i="1" l="1"/>
  <c r="G34" i="2" s="1"/>
  <c r="J114" i="1"/>
  <c r="N114" i="1"/>
  <c r="E34" i="2"/>
  <c r="F114" i="1"/>
  <c r="H114" i="1"/>
  <c r="P114" i="1"/>
  <c r="L114" i="1"/>
  <c r="Q114" i="1"/>
  <c r="H34" i="2" s="1"/>
  <c r="F34" i="2"/>
  <c r="D34" i="2"/>
  <c r="B34" i="2"/>
  <c r="C34" i="2"/>
  <c r="A34" i="2"/>
  <c r="D114" i="1"/>
</calcChain>
</file>

<file path=xl/sharedStrings.xml><?xml version="1.0" encoding="utf-8"?>
<sst xmlns="http://schemas.openxmlformats.org/spreadsheetml/2006/main" count="235" uniqueCount="154">
  <si>
    <t>kg</t>
    <phoneticPr fontId="2"/>
  </si>
  <si>
    <t>m</t>
    <phoneticPr fontId="2"/>
  </si>
  <si>
    <t>N・m</t>
    <phoneticPr fontId="2"/>
  </si>
  <si>
    <t>　　</t>
    <phoneticPr fontId="2"/>
  </si>
  <si>
    <t>走行台車駆動輪1輪あたりの必要トルク計算書　（ご参考資料）</t>
    <rPh sb="0" eb="2">
      <t>ソウコウ</t>
    </rPh>
    <rPh sb="2" eb="4">
      <t>ダイシャ</t>
    </rPh>
    <rPh sb="4" eb="6">
      <t>クドウ</t>
    </rPh>
    <rPh sb="20" eb="21">
      <t>ショ</t>
    </rPh>
    <rPh sb="24" eb="26">
      <t>サンコウ</t>
    </rPh>
    <rPh sb="26" eb="28">
      <t>シリョウ</t>
    </rPh>
    <phoneticPr fontId="2"/>
  </si>
  <si>
    <t>μ：走行摩擦抵抗</t>
    <rPh sb="2" eb="4">
      <t>ソウコウ</t>
    </rPh>
    <rPh sb="4" eb="6">
      <t>マサツ</t>
    </rPh>
    <rPh sb="6" eb="8">
      <t>テイコウ</t>
    </rPh>
    <phoneticPr fontId="2"/>
  </si>
  <si>
    <t>Ｗ：総重量</t>
    <rPh sb="2" eb="5">
      <t>ソウジュウリョウ</t>
    </rPh>
    <phoneticPr fontId="2"/>
  </si>
  <si>
    <t>Ｓ：安全率</t>
    <rPh sb="2" eb="4">
      <t>アンゼン</t>
    </rPh>
    <rPh sb="4" eb="5">
      <t>リツ</t>
    </rPh>
    <phoneticPr fontId="2"/>
  </si>
  <si>
    <t>Ｄ：駆動輪径</t>
    <rPh sb="2" eb="4">
      <t>クドウ</t>
    </rPh>
    <rPh sb="4" eb="5">
      <t>リン</t>
    </rPh>
    <rPh sb="5" eb="6">
      <t>ケイ</t>
    </rPh>
    <phoneticPr fontId="2"/>
  </si>
  <si>
    <t>θ：登坂角度</t>
    <rPh sb="2" eb="4">
      <t>トウハン</t>
    </rPh>
    <rPh sb="4" eb="6">
      <t>カクド</t>
    </rPh>
    <phoneticPr fontId="2"/>
  </si>
  <si>
    <t>Ｎ：駆動輪数</t>
    <rPh sb="2" eb="4">
      <t>クドウ</t>
    </rPh>
    <rPh sb="4" eb="5">
      <t>リン</t>
    </rPh>
    <rPh sb="5" eb="6">
      <t>スウ</t>
    </rPh>
    <phoneticPr fontId="2"/>
  </si>
  <si>
    <t>1)平坦路走行</t>
    <rPh sb="2" eb="4">
      <t>ヘイタン</t>
    </rPh>
    <rPh sb="4" eb="5">
      <t>ロ</t>
    </rPh>
    <rPh sb="5" eb="7">
      <t>ソウコウ</t>
    </rPh>
    <phoneticPr fontId="2"/>
  </si>
  <si>
    <t>　　計算に必要な条件</t>
    <rPh sb="2" eb="4">
      <t>ケイサン</t>
    </rPh>
    <rPh sb="5" eb="7">
      <t>ヒツヨウ</t>
    </rPh>
    <rPh sb="8" eb="10">
      <t>ジョウケン</t>
    </rPh>
    <phoneticPr fontId="2"/>
  </si>
  <si>
    <t>　　・車輪とレールまたは良好な道路面上の走行…0.01～0.03</t>
    <rPh sb="3" eb="5">
      <t>シャリン</t>
    </rPh>
    <rPh sb="12" eb="14">
      <t>リョウコウ</t>
    </rPh>
    <rPh sb="15" eb="17">
      <t>ドウロ</t>
    </rPh>
    <rPh sb="17" eb="18">
      <t>メン</t>
    </rPh>
    <rPh sb="18" eb="19">
      <t>ウエ</t>
    </rPh>
    <rPh sb="20" eb="22">
      <t>ソウコウ</t>
    </rPh>
    <phoneticPr fontId="2"/>
  </si>
  <si>
    <t>　　・車輪と砂利道等の悪路走行…0.1～0.2</t>
    <rPh sb="3" eb="5">
      <t>シャリン</t>
    </rPh>
    <rPh sb="6" eb="8">
      <t>ジャリ</t>
    </rPh>
    <rPh sb="8" eb="9">
      <t>ミチ</t>
    </rPh>
    <rPh sb="9" eb="10">
      <t>トウ</t>
    </rPh>
    <rPh sb="11" eb="13">
      <t>アクロ</t>
    </rPh>
    <rPh sb="13" eb="15">
      <t>ソウコウ</t>
    </rPh>
    <phoneticPr fontId="2"/>
  </si>
  <si>
    <t>Ｓ：安全率（アンバランス）…1.2～2</t>
    <rPh sb="2" eb="4">
      <t>アンゼン</t>
    </rPh>
    <rPh sb="4" eb="5">
      <t>リツ</t>
    </rPh>
    <phoneticPr fontId="2"/>
  </si>
  <si>
    <t>Ｎ：駆動輪数…１輪駆動＝1、２輪駆動＝2、４輪駆動＝4</t>
    <rPh sb="2" eb="4">
      <t>クドウ</t>
    </rPh>
    <rPh sb="4" eb="5">
      <t>リン</t>
    </rPh>
    <rPh sb="5" eb="6">
      <t>スウ</t>
    </rPh>
    <rPh sb="8" eb="9">
      <t>リン</t>
    </rPh>
    <rPh sb="9" eb="11">
      <t>クドウ</t>
    </rPh>
    <rPh sb="15" eb="16">
      <t>リン</t>
    </rPh>
    <rPh sb="16" eb="18">
      <t>クドウ</t>
    </rPh>
    <rPh sb="22" eb="23">
      <t>リン</t>
    </rPh>
    <rPh sb="23" eb="25">
      <t>クドウ</t>
    </rPh>
    <phoneticPr fontId="2"/>
  </si>
  <si>
    <t>Ｗ：総重量…台車重量+積載重量</t>
    <rPh sb="2" eb="5">
      <t>ソウジュウリョウ</t>
    </rPh>
    <rPh sb="6" eb="8">
      <t>ダイシャ</t>
    </rPh>
    <rPh sb="8" eb="10">
      <t>ジュウリョウ</t>
    </rPh>
    <rPh sb="11" eb="13">
      <t>セキサイ</t>
    </rPh>
    <rPh sb="13" eb="15">
      <t>ジュウリョウ</t>
    </rPh>
    <phoneticPr fontId="2"/>
  </si>
  <si>
    <t>Ｄ：駆動輪径…駆動輪の直径</t>
    <rPh sb="2" eb="4">
      <t>クドウ</t>
    </rPh>
    <rPh sb="4" eb="5">
      <t>リン</t>
    </rPh>
    <rPh sb="5" eb="6">
      <t>ケイ</t>
    </rPh>
    <rPh sb="7" eb="9">
      <t>クドウ</t>
    </rPh>
    <rPh sb="9" eb="10">
      <t>リン</t>
    </rPh>
    <rPh sb="11" eb="13">
      <t>チョッケイ</t>
    </rPh>
    <phoneticPr fontId="2"/>
  </si>
  <si>
    <t>　　計算式</t>
    <rPh sb="2" eb="4">
      <t>ケイサン</t>
    </rPh>
    <rPh sb="4" eb="5">
      <t>シキ</t>
    </rPh>
    <phoneticPr fontId="2"/>
  </si>
  <si>
    <t>　　　①推力：Ｆ</t>
    <rPh sb="4" eb="6">
      <t>スイリョク</t>
    </rPh>
    <phoneticPr fontId="2"/>
  </si>
  <si>
    <t>Ｆ＝μ×Ｗ</t>
    <phoneticPr fontId="2"/>
  </si>
  <si>
    <t>　　　②駆動輪１輪あたりの必要トルク：ＴＬ1</t>
    <rPh sb="4" eb="6">
      <t>クドウ</t>
    </rPh>
    <rPh sb="6" eb="7">
      <t>リン</t>
    </rPh>
    <rPh sb="8" eb="9">
      <t>リン</t>
    </rPh>
    <rPh sb="13" eb="15">
      <t>ヒツヨウ</t>
    </rPh>
    <phoneticPr fontId="2"/>
  </si>
  <si>
    <t>ＴＬ１＝Ｆ×駆動輪半径（Ｄ/2）×Ｓ/駆動輪数</t>
    <rPh sb="6" eb="8">
      <t>クドウ</t>
    </rPh>
    <rPh sb="8" eb="9">
      <t>リン</t>
    </rPh>
    <rPh sb="9" eb="11">
      <t>ハンケイ</t>
    </rPh>
    <rPh sb="19" eb="21">
      <t>クドウ</t>
    </rPh>
    <rPh sb="21" eb="22">
      <t>リン</t>
    </rPh>
    <rPh sb="22" eb="23">
      <t>スウ</t>
    </rPh>
    <phoneticPr fontId="2"/>
  </si>
  <si>
    <t>2)傾斜路走行</t>
    <rPh sb="2" eb="4">
      <t>ケイシャ</t>
    </rPh>
    <rPh sb="4" eb="5">
      <t>ロ</t>
    </rPh>
    <rPh sb="5" eb="7">
      <t>ソウコウ</t>
    </rPh>
    <phoneticPr fontId="2"/>
  </si>
  <si>
    <t>　　計算に必要な条件（上記に追加）</t>
    <rPh sb="2" eb="4">
      <t>ケイサン</t>
    </rPh>
    <rPh sb="5" eb="7">
      <t>ヒツヨウ</t>
    </rPh>
    <rPh sb="8" eb="10">
      <t>ジョウケン</t>
    </rPh>
    <rPh sb="11" eb="13">
      <t>ジョウキ</t>
    </rPh>
    <rPh sb="14" eb="16">
      <t>ツイカ</t>
    </rPh>
    <phoneticPr fontId="2"/>
  </si>
  <si>
    <t>θ：傾斜角度</t>
    <rPh sb="2" eb="4">
      <t>ケイシャ</t>
    </rPh>
    <rPh sb="4" eb="6">
      <t>カクド</t>
    </rPh>
    <phoneticPr fontId="2"/>
  </si>
  <si>
    <t>　　　①登坂力：Ｆ</t>
    <rPh sb="4" eb="6">
      <t>トハン</t>
    </rPh>
    <rPh sb="6" eb="7">
      <t>チカラ</t>
    </rPh>
    <phoneticPr fontId="2"/>
  </si>
  <si>
    <t>Ｆ＝μ×Ｗ×cosθ+Ｗ×sinθ</t>
    <phoneticPr fontId="2"/>
  </si>
  <si>
    <t>°</t>
    <phoneticPr fontId="2"/>
  </si>
  <si>
    <t>―</t>
    <phoneticPr fontId="2"/>
  </si>
  <si>
    <t>駆動輪１輪あたりの必要トルク</t>
    <rPh sb="0" eb="2">
      <t>クドウ</t>
    </rPh>
    <rPh sb="2" eb="3">
      <t>リン</t>
    </rPh>
    <rPh sb="4" eb="5">
      <t>リン</t>
    </rPh>
    <rPh sb="9" eb="11">
      <t>ヒツヨウ</t>
    </rPh>
    <phoneticPr fontId="2"/>
  </si>
  <si>
    <t>3)加減速時間</t>
    <rPh sb="2" eb="5">
      <t>カゲンソク</t>
    </rPh>
    <rPh sb="5" eb="7">
      <t>ジカン</t>
    </rPh>
    <phoneticPr fontId="2"/>
  </si>
  <si>
    <t>i：減速比</t>
    <rPh sb="2" eb="4">
      <t>ゲンソク</t>
    </rPh>
    <rPh sb="4" eb="5">
      <t>ヒ</t>
    </rPh>
    <phoneticPr fontId="2"/>
  </si>
  <si>
    <t>D：車輪径</t>
    <rPh sb="2" eb="4">
      <t>シャリン</t>
    </rPh>
    <rPh sb="4" eb="5">
      <t>ケイ</t>
    </rPh>
    <phoneticPr fontId="2"/>
  </si>
  <si>
    <t>Ｎｍ：モータ回転速度</t>
    <rPh sb="6" eb="8">
      <t>カイテン</t>
    </rPh>
    <rPh sb="8" eb="10">
      <t>ソクド</t>
    </rPh>
    <phoneticPr fontId="2"/>
  </si>
  <si>
    <t>　　　①加速時間：ta（sec）</t>
    <rPh sb="4" eb="6">
      <t>カソク</t>
    </rPh>
    <rPh sb="6" eb="8">
      <t>ジカン</t>
    </rPh>
    <phoneticPr fontId="2"/>
  </si>
  <si>
    <t>　　　②減速時間：tb（sec）</t>
    <rPh sb="4" eb="6">
      <t>ゲンソク</t>
    </rPh>
    <rPh sb="6" eb="8">
      <t>ジカン</t>
    </rPh>
    <phoneticPr fontId="2"/>
  </si>
  <si>
    <t>D：車輪径（m）</t>
    <rPh sb="2" eb="4">
      <t>シャリン</t>
    </rPh>
    <rPh sb="4" eb="5">
      <t>ケイ</t>
    </rPh>
    <phoneticPr fontId="2"/>
  </si>
  <si>
    <t>表（SWRシリーズ）</t>
    <rPh sb="0" eb="1">
      <t>ヒョウ</t>
    </rPh>
    <phoneticPr fontId="2"/>
  </si>
  <si>
    <t>表（AWRⅡシリーズ）</t>
    <rPh sb="0" eb="1">
      <t>ヒョウ</t>
    </rPh>
    <phoneticPr fontId="2"/>
  </si>
  <si>
    <t>AWRⅡ220B</t>
    <phoneticPr fontId="2"/>
  </si>
  <si>
    <t>W：総重量</t>
    <rPh sb="2" eb="3">
      <t>ソウ</t>
    </rPh>
    <rPh sb="3" eb="5">
      <t>ジュウリョウ</t>
    </rPh>
    <phoneticPr fontId="2"/>
  </si>
  <si>
    <t>加速時間：ta</t>
  </si>
  <si>
    <t>減速時間：tb</t>
  </si>
  <si>
    <t>計算表１</t>
    <rPh sb="0" eb="2">
      <t>ケイサン</t>
    </rPh>
    <rPh sb="2" eb="3">
      <t>ヒョウ</t>
    </rPh>
    <phoneticPr fontId="2"/>
  </si>
  <si>
    <t>　計算表の黄色枠に数値を代入し、１輪あたりの必要トルク算出</t>
    <rPh sb="1" eb="3">
      <t>ケイサン</t>
    </rPh>
    <rPh sb="3" eb="4">
      <t>ヒョウ</t>
    </rPh>
    <rPh sb="5" eb="7">
      <t>キイロ</t>
    </rPh>
    <rPh sb="7" eb="8">
      <t>ワク</t>
    </rPh>
    <rPh sb="9" eb="11">
      <t>スウチ</t>
    </rPh>
    <rPh sb="12" eb="14">
      <t>ダイニュウ</t>
    </rPh>
    <rPh sb="17" eb="18">
      <t>リン</t>
    </rPh>
    <rPh sb="22" eb="24">
      <t>ヒツヨウ</t>
    </rPh>
    <rPh sb="27" eb="29">
      <t>サンシュツ</t>
    </rPh>
    <phoneticPr fontId="2"/>
  </si>
  <si>
    <t>　（平坦時は登坂角度0°を代入）</t>
    <rPh sb="2" eb="4">
      <t>ヘイタン</t>
    </rPh>
    <rPh sb="4" eb="5">
      <t>ジ</t>
    </rPh>
    <rPh sb="6" eb="8">
      <t>トハン</t>
    </rPh>
    <rPh sb="8" eb="10">
      <t>カクド</t>
    </rPh>
    <rPh sb="13" eb="15">
      <t>ダイニュウ</t>
    </rPh>
    <phoneticPr fontId="2"/>
  </si>
  <si>
    <t>計算表２</t>
    <rPh sb="0" eb="2">
      <t>ケイサン</t>
    </rPh>
    <rPh sb="2" eb="3">
      <t>ヒョウ</t>
    </rPh>
    <phoneticPr fontId="2"/>
  </si>
  <si>
    <t>Tdm：モ－タ瞬時最大Ｔ</t>
    <rPh sb="7" eb="9">
      <t>シュンジ</t>
    </rPh>
    <rPh sb="9" eb="11">
      <t>サイダイ</t>
    </rPh>
    <phoneticPr fontId="2"/>
  </si>
  <si>
    <t>ＴＬ1：１輪あたりの必要トルク</t>
    <phoneticPr fontId="2"/>
  </si>
  <si>
    <t>ＴＬｍ：モータ必要トルク</t>
    <rPh sb="7" eb="9">
      <t>ヒツヨウ</t>
    </rPh>
    <phoneticPr fontId="2"/>
  </si>
  <si>
    <t>η：減速機効率</t>
    <rPh sb="2" eb="5">
      <t>ゲンソクキ</t>
    </rPh>
    <rPh sb="5" eb="7">
      <t>コウリツ</t>
    </rPh>
    <phoneticPr fontId="2"/>
  </si>
  <si>
    <t>i：減速比…下表参照</t>
    <rPh sb="2" eb="4">
      <t>ゲンソク</t>
    </rPh>
    <rPh sb="4" eb="5">
      <t>ヒ</t>
    </rPh>
    <rPh sb="6" eb="7">
      <t>シタ</t>
    </rPh>
    <rPh sb="7" eb="8">
      <t>ヒョウ</t>
    </rPh>
    <rPh sb="8" eb="10">
      <t>サンショウ</t>
    </rPh>
    <phoneticPr fontId="2"/>
  </si>
  <si>
    <t>Ｎm：モータ回転速度</t>
    <rPh sb="6" eb="8">
      <t>カイテン</t>
    </rPh>
    <rPh sb="8" eb="10">
      <t>ソクド</t>
    </rPh>
    <phoneticPr fontId="2"/>
  </si>
  <si>
    <t>Nm：モータ回転速度…下表参照</t>
    <rPh sb="6" eb="8">
      <t>カイテン</t>
    </rPh>
    <rPh sb="8" eb="10">
      <t>ソクド</t>
    </rPh>
    <rPh sb="11" eb="13">
      <t>カヒョウ</t>
    </rPh>
    <rPh sb="13" eb="15">
      <t>サンショウ</t>
    </rPh>
    <phoneticPr fontId="2"/>
  </si>
  <si>
    <t>Ｔｄm：モータ瞬時最大トルク…下表参照</t>
    <rPh sb="7" eb="9">
      <t>シュンジ</t>
    </rPh>
    <rPh sb="9" eb="11">
      <t>サイダイ</t>
    </rPh>
    <rPh sb="15" eb="17">
      <t>カヒョウ</t>
    </rPh>
    <rPh sb="17" eb="19">
      <t>サンショウ</t>
    </rPh>
    <phoneticPr fontId="2"/>
  </si>
  <si>
    <t>ＴＬ1：駆動輪１輪あたりの必要トルク…計算表1結果</t>
    <rPh sb="19" eb="21">
      <t>ケイサン</t>
    </rPh>
    <rPh sb="21" eb="22">
      <t>ヒョウ</t>
    </rPh>
    <rPh sb="23" eb="25">
      <t>ケッカ</t>
    </rPh>
    <phoneticPr fontId="2"/>
  </si>
  <si>
    <t>η：減速機効率…下表参照</t>
    <rPh sb="2" eb="5">
      <t>ゲンソクキ</t>
    </rPh>
    <rPh sb="5" eb="7">
      <t>コウリツ</t>
    </rPh>
    <rPh sb="8" eb="10">
      <t>カヒョウ</t>
    </rPh>
    <rPh sb="10" eb="12">
      <t>サンショウ</t>
    </rPh>
    <phoneticPr fontId="2"/>
  </si>
  <si>
    <t>ta＝ＧＤ＾2×Nm/（375×（Ｔｄm－ＴＬm）/9.8）</t>
    <phoneticPr fontId="2"/>
  </si>
  <si>
    <t>tb＝ＧＤ＾2×Nm/（375×（Ｔｄm+ＴＬm）/9.8）</t>
    <phoneticPr fontId="2"/>
  </si>
  <si>
    <t>ＧＤ＾2m：モータ慣性モーメント…下表参照</t>
    <rPh sb="9" eb="11">
      <t>カンセイ</t>
    </rPh>
    <rPh sb="17" eb="19">
      <t>カヒョウ</t>
    </rPh>
    <rPh sb="19" eb="21">
      <t>サンショウ</t>
    </rPh>
    <phoneticPr fontId="2"/>
  </si>
  <si>
    <t>ＧＤ＾2g：減速機慣性モーメント…下表参照</t>
    <rPh sb="6" eb="9">
      <t>ゲンソクキ</t>
    </rPh>
    <rPh sb="9" eb="11">
      <t>カンセイ</t>
    </rPh>
    <rPh sb="17" eb="19">
      <t>カヒョウ</t>
    </rPh>
    <rPh sb="19" eb="21">
      <t>サンショウ</t>
    </rPh>
    <phoneticPr fontId="2"/>
  </si>
  <si>
    <t>ＧＤ＾2：総慣性モーメント…ＧＤ＾2m+ＧＤ＾2g+ＧＤ＾2L</t>
    <rPh sb="5" eb="6">
      <t>ソウ</t>
    </rPh>
    <phoneticPr fontId="2"/>
  </si>
  <si>
    <t>TLm：モータ必要トルク…ＴＬ1/i/η</t>
    <rPh sb="7" eb="9">
      <t>ヒツヨウ</t>
    </rPh>
    <phoneticPr fontId="2"/>
  </si>
  <si>
    <t>ＧＤ＾2Ｌ：駆動輪1輪あたり負荷慣性モーメント…Ｗ×Ｄ＾2/Ｎ</t>
    <phoneticPr fontId="2"/>
  </si>
  <si>
    <t>Tdm：モータ瞬時最大Ｔ（Ｎm）</t>
    <phoneticPr fontId="2"/>
  </si>
  <si>
    <t>η：減速機効率</t>
    <phoneticPr fontId="2"/>
  </si>
  <si>
    <t>ＧＤ＾2m（ｋｇｆ・ｍ＾2）</t>
    <phoneticPr fontId="2"/>
  </si>
  <si>
    <t>ＧＤ＾2g（ｋｇｆ・ｍ＾2）</t>
    <phoneticPr fontId="2"/>
  </si>
  <si>
    <r>
      <t>GD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L</t>
    </r>
    <phoneticPr fontId="2"/>
  </si>
  <si>
    <t>安全率</t>
    <rPh sb="0" eb="2">
      <t>アンゼン</t>
    </rPh>
    <rPh sb="2" eb="3">
      <t>リツ</t>
    </rPh>
    <phoneticPr fontId="2"/>
  </si>
  <si>
    <t>SWR040B-T23</t>
    <phoneticPr fontId="2"/>
  </si>
  <si>
    <t>SWR020B-T15</t>
    <phoneticPr fontId="2"/>
  </si>
  <si>
    <t>SWR010B-T11</t>
    <phoneticPr fontId="2"/>
  </si>
  <si>
    <t>AWRⅡ030B-P</t>
    <phoneticPr fontId="2"/>
  </si>
  <si>
    <t>AWRⅡ075B-P</t>
    <phoneticPr fontId="2"/>
  </si>
  <si>
    <t>η：減速機効率</t>
    <phoneticPr fontId="2"/>
  </si>
  <si>
    <t>ta＝ＧＤ＾2×Ｖ/（375×（Ｔｄm－ＴＬm）/9.8）</t>
    <phoneticPr fontId="2"/>
  </si>
  <si>
    <r>
      <t>GD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</si>
  <si>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Tdm：モータ瞬時最大Ｔ（Ｎm）</t>
    <phoneticPr fontId="2"/>
  </si>
  <si>
    <t>Ｖ＝（Ｔｄｍ-ＴＬｍ)/9.8×375/ＧＤ＾2×ｔａ</t>
    <phoneticPr fontId="2"/>
  </si>
  <si>
    <t>Ｖ＝(Ｔｄｍ-(9.8*Ｗ*(μ*COS(θ)+SIN(θ))*Ｓ*Ｄ/(2*Ｎ)/減速比/η))/9.8*375/ＧＤ^2*ｔａ</t>
    <phoneticPr fontId="2"/>
  </si>
  <si>
    <t>AWRⅡ010B</t>
    <phoneticPr fontId="2"/>
  </si>
  <si>
    <t>ta：加速時間</t>
    <rPh sb="3" eb="5">
      <t>カソク</t>
    </rPh>
    <rPh sb="5" eb="7">
      <t>ジカン</t>
    </rPh>
    <phoneticPr fontId="2"/>
  </si>
  <si>
    <t>kg</t>
    <phoneticPr fontId="2"/>
  </si>
  <si>
    <t>m</t>
    <phoneticPr fontId="2"/>
  </si>
  <si>
    <r>
      <t>min</t>
    </r>
    <r>
      <rPr>
        <vertAlign val="superscript"/>
        <sz val="11"/>
        <rFont val="ＭＳ Ｐゴシック"/>
        <family val="3"/>
        <charset val="128"/>
      </rPr>
      <t>-1</t>
    </r>
    <phoneticPr fontId="2"/>
  </si>
  <si>
    <t>Nm</t>
    <phoneticPr fontId="2"/>
  </si>
  <si>
    <r>
      <t>kgfm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</si>
  <si>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sec</t>
    <phoneticPr fontId="2"/>
  </si>
  <si>
    <r>
      <t>ＧＤ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Ｌ：入力軸換算負荷慣性Ｍ</t>
    </r>
    <rPh sb="5" eb="7">
      <t>ニュウリョク</t>
    </rPh>
    <rPh sb="7" eb="8">
      <t>ジク</t>
    </rPh>
    <rPh sb="8" eb="10">
      <t>カンザン</t>
    </rPh>
    <rPh sb="10" eb="12">
      <t>フカ</t>
    </rPh>
    <rPh sb="12" eb="14">
      <t>カンセイ</t>
    </rPh>
    <phoneticPr fontId="2"/>
  </si>
  <si>
    <r>
      <t>ＧＤ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：入力軸換算総慣性Ｍ</t>
    </r>
    <rPh sb="9" eb="10">
      <t>ソウ</t>
    </rPh>
    <rPh sb="10" eb="12">
      <t>カンセイ</t>
    </rPh>
    <phoneticPr fontId="2"/>
  </si>
  <si>
    <r>
      <t>ＧＤ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ｍ：モータ慣性Ｍ</t>
    </r>
    <phoneticPr fontId="2"/>
  </si>
  <si>
    <r>
      <t>ＧＤ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ｇ：減速機慣性Ｍ</t>
    </r>
    <rPh sb="5" eb="8">
      <t>ゲンソクキ</t>
    </rPh>
    <phoneticPr fontId="2"/>
  </si>
  <si>
    <t>←　カタログ技術資料１相当算出値</t>
    <rPh sb="6" eb="8">
      <t>ギジュツ</t>
    </rPh>
    <rPh sb="8" eb="10">
      <t>シリョウ</t>
    </rPh>
    <rPh sb="11" eb="13">
      <t>ソウトウ</t>
    </rPh>
    <rPh sb="13" eb="15">
      <t>サンシュツ</t>
    </rPh>
    <rPh sb="15" eb="16">
      <t>チ</t>
    </rPh>
    <phoneticPr fontId="2"/>
  </si>
  <si>
    <t>計算表２a</t>
    <rPh sb="0" eb="2">
      <t>ケイサン</t>
    </rPh>
    <rPh sb="2" eb="3">
      <t>ヒョウ</t>
    </rPh>
    <phoneticPr fontId="2"/>
  </si>
  <si>
    <t xml:space="preserve">   </t>
    <phoneticPr fontId="2"/>
  </si>
  <si>
    <t xml:space="preserve">     　　</t>
    <phoneticPr fontId="2"/>
  </si>
  <si>
    <t xml:space="preserve">  ＧＤ2Ｌ&gt;&gt;ＧＤ2m+ＧＤ2g　としてGD2=GD2Lで算出</t>
    <rPh sb="30" eb="32">
      <t>サンシュツ</t>
    </rPh>
    <phoneticPr fontId="2"/>
  </si>
  <si>
    <t>計算表３</t>
    <rPh sb="0" eb="2">
      <t>ケイサン</t>
    </rPh>
    <rPh sb="2" eb="3">
      <t>ヒョウ</t>
    </rPh>
    <phoneticPr fontId="2"/>
  </si>
  <si>
    <t>加速時間特性参照データ</t>
    <rPh sb="0" eb="2">
      <t>カソク</t>
    </rPh>
    <rPh sb="2" eb="4">
      <t>ジカン</t>
    </rPh>
    <rPh sb="4" eb="6">
      <t>トクセイ</t>
    </rPh>
    <rPh sb="6" eb="8">
      <t>サンショウ</t>
    </rPh>
    <phoneticPr fontId="2"/>
  </si>
  <si>
    <t>計算表４</t>
    <rPh sb="0" eb="2">
      <t>ケイサン</t>
    </rPh>
    <rPh sb="2" eb="3">
      <t>ヒョウ</t>
    </rPh>
    <phoneticPr fontId="2"/>
  </si>
  <si>
    <t>速度</t>
    <rPh sb="0" eb="2">
      <t>ソクド</t>
    </rPh>
    <phoneticPr fontId="2"/>
  </si>
  <si>
    <t>加速時間特性モーター軸速度</t>
    <rPh sb="0" eb="2">
      <t>カソク</t>
    </rPh>
    <rPh sb="2" eb="4">
      <t>ジカン</t>
    </rPh>
    <rPh sb="4" eb="6">
      <t>トクセイ</t>
    </rPh>
    <rPh sb="10" eb="11">
      <t>ジク</t>
    </rPh>
    <rPh sb="11" eb="13">
      <t>ソクド</t>
    </rPh>
    <phoneticPr fontId="2"/>
  </si>
  <si>
    <t>車輪モーター仕様から、加減速時間算出</t>
    <rPh sb="0" eb="2">
      <t>シャリン</t>
    </rPh>
    <rPh sb="6" eb="8">
      <t>シヨウ</t>
    </rPh>
    <rPh sb="11" eb="14">
      <t>カゲンソク</t>
    </rPh>
    <rPh sb="14" eb="16">
      <t>ジカン</t>
    </rPh>
    <rPh sb="16" eb="18">
      <t>サンシュツ</t>
    </rPh>
    <phoneticPr fontId="2"/>
  </si>
  <si>
    <t>車輪型式</t>
    <rPh sb="0" eb="2">
      <t>シャリン</t>
    </rPh>
    <rPh sb="2" eb="4">
      <t>カタシキ</t>
    </rPh>
    <phoneticPr fontId="2"/>
  </si>
  <si>
    <t>SWR020B-T15</t>
  </si>
  <si>
    <t>列1</t>
    <phoneticPr fontId="2"/>
  </si>
  <si>
    <t>耐荷重(N)</t>
    <rPh sb="0" eb="3">
      <t>タイカジュウ</t>
    </rPh>
    <phoneticPr fontId="2"/>
  </si>
  <si>
    <t>4輪AGV最大総重量(kg)</t>
    <rPh sb="1" eb="2">
      <t>リン</t>
    </rPh>
    <rPh sb="5" eb="7">
      <t>サイダイ</t>
    </rPh>
    <rPh sb="7" eb="8">
      <t>ソウ</t>
    </rPh>
    <rPh sb="8" eb="10">
      <t>ジュウリョウ</t>
    </rPh>
    <phoneticPr fontId="2"/>
  </si>
  <si>
    <t>AGV総車輪数</t>
    <rPh sb="3" eb="4">
      <t>ソウ</t>
    </rPh>
    <rPh sb="4" eb="7">
      <t>シャリンスウ</t>
    </rPh>
    <phoneticPr fontId="2"/>
  </si>
  <si>
    <t>AGV最大総重量(kg)</t>
    <rPh sb="3" eb="5">
      <t>サイダイ</t>
    </rPh>
    <rPh sb="5" eb="6">
      <t>ソウ</t>
    </rPh>
    <rPh sb="6" eb="8">
      <t>ジュウリョウ</t>
    </rPh>
    <phoneticPr fontId="2"/>
  </si>
  <si>
    <t>駆動輪数</t>
    <rPh sb="0" eb="2">
      <t>クドウ</t>
    </rPh>
    <rPh sb="2" eb="3">
      <t>リン</t>
    </rPh>
    <rPh sb="3" eb="4">
      <t>スウ</t>
    </rPh>
    <phoneticPr fontId="2"/>
  </si>
  <si>
    <t>走行摩擦抵抗</t>
    <rPh sb="0" eb="2">
      <t>ソウコウ</t>
    </rPh>
    <rPh sb="2" eb="4">
      <t>マサツ</t>
    </rPh>
    <rPh sb="4" eb="6">
      <t>テイコウ</t>
    </rPh>
    <phoneticPr fontId="2"/>
  </si>
  <si>
    <t>加速時間</t>
    <rPh sb="0" eb="2">
      <t>カソク</t>
    </rPh>
    <rPh sb="2" eb="4">
      <t>ジカン</t>
    </rPh>
    <phoneticPr fontId="2"/>
  </si>
  <si>
    <t>AGV総車輪数</t>
    <rPh sb="3" eb="4">
      <t>ソウ</t>
    </rPh>
    <rPh sb="4" eb="7">
      <t>シャリンスウ</t>
    </rPh>
    <phoneticPr fontId="2"/>
  </si>
  <si>
    <t>車輪径</t>
    <rPh sb="0" eb="2">
      <t>シャリン</t>
    </rPh>
    <rPh sb="2" eb="3">
      <t>ケイ</t>
    </rPh>
    <phoneticPr fontId="2"/>
  </si>
  <si>
    <t>最高速度</t>
    <rPh sb="0" eb="4">
      <t>サイコウソクド</t>
    </rPh>
    <phoneticPr fontId="2"/>
  </si>
  <si>
    <t>［m/min］</t>
    <phoneticPr fontId="2"/>
  </si>
  <si>
    <t>［kg］</t>
    <phoneticPr fontId="2"/>
  </si>
  <si>
    <t>［m］</t>
    <phoneticPr fontId="2"/>
  </si>
  <si>
    <t>AGV許容総重量</t>
    <rPh sb="3" eb="5">
      <t>キョヨウ</t>
    </rPh>
    <rPh sb="5" eb="6">
      <t>ソウ</t>
    </rPh>
    <rPh sb="6" eb="8">
      <t>ジュウリョウ</t>
    </rPh>
    <phoneticPr fontId="2"/>
  </si>
  <si>
    <t>μ</t>
    <phoneticPr fontId="2"/>
  </si>
  <si>
    <t xml:space="preserve"> S</t>
    <phoneticPr fontId="2"/>
  </si>
  <si>
    <t>D</t>
    <phoneticPr fontId="2"/>
  </si>
  <si>
    <t>Vmax</t>
    <phoneticPr fontId="2"/>
  </si>
  <si>
    <t>Wmax</t>
    <phoneticPr fontId="2"/>
  </si>
  <si>
    <t>駆動輪と補助輪の総車輪数</t>
    <rPh sb="0" eb="2">
      <t>クドウ</t>
    </rPh>
    <rPh sb="2" eb="3">
      <t>リン</t>
    </rPh>
    <rPh sb="4" eb="6">
      <t>ホジョ</t>
    </rPh>
    <rPh sb="6" eb="7">
      <t>リン</t>
    </rPh>
    <rPh sb="8" eb="9">
      <t>ソウ</t>
    </rPh>
    <rPh sb="9" eb="11">
      <t>シャリン</t>
    </rPh>
    <rPh sb="11" eb="12">
      <t>スウ</t>
    </rPh>
    <phoneticPr fontId="2"/>
  </si>
  <si>
    <t>駆動車輪数　二輪駆動＝2、四輪駆動＝4</t>
    <rPh sb="0" eb="2">
      <t>クドウ</t>
    </rPh>
    <rPh sb="2" eb="4">
      <t>シャリン</t>
    </rPh>
    <rPh sb="4" eb="5">
      <t>スウ</t>
    </rPh>
    <rPh sb="6" eb="8">
      <t>ニリン</t>
    </rPh>
    <rPh sb="8" eb="10">
      <t>クドウ</t>
    </rPh>
    <rPh sb="13" eb="15">
      <t>ヨンリン</t>
    </rPh>
    <rPh sb="15" eb="17">
      <t>クドウ</t>
    </rPh>
    <phoneticPr fontId="2"/>
  </si>
  <si>
    <t>・車輪と砂利道等の悪路走行…0.1～0.2
・車輪とレールまたは良好な路面上の走行…0.01～0.03</t>
    <phoneticPr fontId="2"/>
  </si>
  <si>
    <t>最大登坂角度</t>
    <rPh sb="0" eb="2">
      <t>サイダイ</t>
    </rPh>
    <rPh sb="2" eb="4">
      <t>トウハン</t>
    </rPh>
    <rPh sb="4" eb="6">
      <t>カクド</t>
    </rPh>
    <phoneticPr fontId="2"/>
  </si>
  <si>
    <t>最高速度までの加速時間</t>
    <rPh sb="0" eb="2">
      <t>サイコウ</t>
    </rPh>
    <rPh sb="2" eb="4">
      <t>ソクド</t>
    </rPh>
    <rPh sb="7" eb="11">
      <t>カソクジカン</t>
    </rPh>
    <phoneticPr fontId="2"/>
  </si>
  <si>
    <t>登坂性能特性</t>
    <rPh sb="0" eb="2">
      <t>トウハン</t>
    </rPh>
    <rPh sb="2" eb="4">
      <t>セイノウ</t>
    </rPh>
    <rPh sb="4" eb="6">
      <t>トクセイ</t>
    </rPh>
    <phoneticPr fontId="2"/>
  </si>
  <si>
    <t>加速時間ｔａで登坂できる速度</t>
    <rPh sb="0" eb="4">
      <t>カソクジカン</t>
    </rPh>
    <rPh sb="7" eb="9">
      <t>トウハン</t>
    </rPh>
    <rPh sb="12" eb="14">
      <t>ソクド</t>
    </rPh>
    <phoneticPr fontId="2"/>
  </si>
  <si>
    <t>加速性能特性</t>
    <rPh sb="0" eb="2">
      <t>カソク</t>
    </rPh>
    <rPh sb="2" eb="4">
      <t>セイノウ</t>
    </rPh>
    <rPh sb="4" eb="6">
      <t>トクセイ</t>
    </rPh>
    <phoneticPr fontId="2"/>
  </si>
  <si>
    <t>AGVパラメータ</t>
    <phoneticPr fontId="2"/>
  </si>
  <si>
    <t>設定値</t>
    <rPh sb="0" eb="3">
      <t>セッテイチ</t>
    </rPh>
    <phoneticPr fontId="2"/>
  </si>
  <si>
    <t>解説　・　設定例</t>
    <rPh sb="0" eb="2">
      <t>カイセツ</t>
    </rPh>
    <rPh sb="5" eb="7">
      <t>セッテイ</t>
    </rPh>
    <rPh sb="7" eb="8">
      <t>レイ</t>
    </rPh>
    <phoneticPr fontId="2"/>
  </si>
  <si>
    <t>想定される最大値</t>
    <rPh sb="0" eb="2">
      <t>ソウテイ</t>
    </rPh>
    <rPh sb="5" eb="7">
      <t>サイダイ</t>
    </rPh>
    <rPh sb="7" eb="8">
      <t>チ</t>
    </rPh>
    <phoneticPr fontId="2"/>
  </si>
  <si>
    <t>　　　　　　　＊許容総重量は補助輪の耐荷重を駆動輪と同等性能として算出</t>
    <rPh sb="8" eb="10">
      <t>キョヨウ</t>
    </rPh>
    <rPh sb="10" eb="13">
      <t>ソウジュウリョウ</t>
    </rPh>
    <rPh sb="14" eb="17">
      <t>ホジョリン</t>
    </rPh>
    <rPh sb="18" eb="21">
      <t>タイカジュウ</t>
    </rPh>
    <rPh sb="22" eb="25">
      <t>クドウリン</t>
    </rPh>
    <rPh sb="26" eb="28">
      <t>ドウトウ</t>
    </rPh>
    <rPh sb="28" eb="30">
      <t>セイノウ</t>
    </rPh>
    <rPh sb="33" eb="35">
      <t>サンシュツ</t>
    </rPh>
    <phoneticPr fontId="2"/>
  </si>
  <si>
    <t>車輪モータ選択</t>
    <rPh sb="0" eb="2">
      <t>シャリン</t>
    </rPh>
    <rPh sb="5" eb="7">
      <t>センタク</t>
    </rPh>
    <phoneticPr fontId="2"/>
  </si>
  <si>
    <t>車輪モータ性能</t>
    <rPh sb="0" eb="2">
      <t>シャリン</t>
    </rPh>
    <rPh sb="5" eb="7">
      <t>セイノウ</t>
    </rPh>
    <phoneticPr fontId="2"/>
  </si>
  <si>
    <t>最大登坂角度θを加速時間ｔａで走行できる速度</t>
    <rPh sb="0" eb="2">
      <t>サイダイ</t>
    </rPh>
    <rPh sb="2" eb="4">
      <t>トウハン</t>
    </rPh>
    <rPh sb="4" eb="6">
      <t>カクド</t>
    </rPh>
    <rPh sb="8" eb="12">
      <t>カソクジカン</t>
    </rPh>
    <rPh sb="15" eb="17">
      <t>ソウコウ</t>
    </rPh>
    <rPh sb="20" eb="22">
      <t>ソクド</t>
    </rPh>
    <phoneticPr fontId="2"/>
  </si>
  <si>
    <t>STEP１　AGVパラメータによる車輪モータの選定</t>
    <rPh sb="17" eb="19">
      <t>シャリン</t>
    </rPh>
    <rPh sb="23" eb="25">
      <t>センテイ</t>
    </rPh>
    <phoneticPr fontId="2"/>
  </si>
  <si>
    <t>STEP2　選定車輪モータによる個別性能評価</t>
    <rPh sb="6" eb="8">
      <t>センテイ</t>
    </rPh>
    <rPh sb="8" eb="10">
      <t>シャリン</t>
    </rPh>
    <rPh sb="16" eb="18">
      <t>コベツ</t>
    </rPh>
    <rPh sb="18" eb="20">
      <t>セイノウ</t>
    </rPh>
    <rPh sb="20" eb="22">
      <t>ヒョウカ</t>
    </rPh>
    <phoneticPr fontId="2"/>
  </si>
  <si>
    <t>・AGV構造や運用条件より各パラメータを設定値に入力。
・描画されるグラフから使用可能な車輪モータを選定します。
　AGVの総重量と運用最大速度の交点がグラフの内側にある車輪モータが選定可能です。</t>
    <rPh sb="4" eb="6">
      <t>コウゾウ</t>
    </rPh>
    <rPh sb="7" eb="9">
      <t>ウンヨウ</t>
    </rPh>
    <rPh sb="9" eb="11">
      <t>ジョウケン</t>
    </rPh>
    <rPh sb="13" eb="14">
      <t>カク</t>
    </rPh>
    <rPh sb="20" eb="22">
      <t>セッテイ</t>
    </rPh>
    <rPh sb="22" eb="23">
      <t>チ</t>
    </rPh>
    <rPh sb="24" eb="26">
      <t>ニュウリョク</t>
    </rPh>
    <rPh sb="29" eb="31">
      <t>ビョウガ</t>
    </rPh>
    <rPh sb="39" eb="43">
      <t>シヨウカノウ</t>
    </rPh>
    <rPh sb="44" eb="46">
      <t>シャリン</t>
    </rPh>
    <rPh sb="50" eb="52">
      <t>センテイ</t>
    </rPh>
    <rPh sb="62" eb="65">
      <t>ソウジュウリョウ</t>
    </rPh>
    <rPh sb="66" eb="68">
      <t>ウンヨウ</t>
    </rPh>
    <rPh sb="68" eb="72">
      <t>サイダイソクド</t>
    </rPh>
    <rPh sb="73" eb="75">
      <t>コウテン</t>
    </rPh>
    <rPh sb="80" eb="82">
      <t>ウチガワ</t>
    </rPh>
    <rPh sb="85" eb="87">
      <t>シャリン</t>
    </rPh>
    <rPh sb="91" eb="93">
      <t>センテイ</t>
    </rPh>
    <rPh sb="93" eb="95">
      <t>カノウ</t>
    </rPh>
    <phoneticPr fontId="2"/>
  </si>
  <si>
    <t>最大登坂角度θで加速できる速度</t>
    <rPh sb="0" eb="2">
      <t>サイダイ</t>
    </rPh>
    <rPh sb="2" eb="4">
      <t>トウハン</t>
    </rPh>
    <rPh sb="4" eb="6">
      <t>カクド</t>
    </rPh>
    <rPh sb="8" eb="10">
      <t>カソク</t>
    </rPh>
    <rPh sb="13" eb="15">
      <t>ソクド</t>
    </rPh>
    <phoneticPr fontId="2"/>
  </si>
  <si>
    <t>・選定車輪モータを車輪モータ選択にポップアップメニューから設定。
・最高速度や許容総重量及びta/θをパラメータとする特性グラフから
　個別性能と設計余裕を評価します。</t>
    <rPh sb="1" eb="3">
      <t>センテイ</t>
    </rPh>
    <rPh sb="3" eb="5">
      <t>シャリン</t>
    </rPh>
    <rPh sb="9" eb="11">
      <t>シャリン</t>
    </rPh>
    <rPh sb="14" eb="16">
      <t>センタク</t>
    </rPh>
    <rPh sb="29" eb="31">
      <t>セッテイ</t>
    </rPh>
    <rPh sb="34" eb="36">
      <t>サイコウ</t>
    </rPh>
    <rPh sb="36" eb="38">
      <t>ソクド</t>
    </rPh>
    <rPh sb="39" eb="41">
      <t>キョヨウ</t>
    </rPh>
    <rPh sb="41" eb="44">
      <t>ソウジュウリョウ</t>
    </rPh>
    <rPh sb="44" eb="45">
      <t>オヨ</t>
    </rPh>
    <rPh sb="59" eb="61">
      <t>トクセイ</t>
    </rPh>
    <rPh sb="68" eb="70">
      <t>コベツ</t>
    </rPh>
    <rPh sb="70" eb="72">
      <t>セイノウ</t>
    </rPh>
    <rPh sb="73" eb="75">
      <t>セッケイ</t>
    </rPh>
    <rPh sb="75" eb="77">
      <t>ヨユウ</t>
    </rPh>
    <rPh sb="78" eb="80">
      <t>ヒョウカ</t>
    </rPh>
    <phoneticPr fontId="2"/>
  </si>
  <si>
    <t>車輪モータ容量選定の目安</t>
  </si>
  <si>
    <t>AWRⅡ030B-P</t>
    <phoneticPr fontId="2"/>
  </si>
  <si>
    <t>θ</t>
    <phoneticPr fontId="2"/>
  </si>
  <si>
    <t>ta</t>
    <phoneticPr fontId="2"/>
  </si>
  <si>
    <t>荷重配分や不整地等のアンバランスを考慮 120～200%程度</t>
    <rPh sb="0" eb="2">
      <t>カジュウ</t>
    </rPh>
    <rPh sb="2" eb="4">
      <t>ハイブン</t>
    </rPh>
    <rPh sb="5" eb="8">
      <t>フセイチ</t>
    </rPh>
    <rPh sb="8" eb="9">
      <t>ナド</t>
    </rPh>
    <rPh sb="17" eb="19">
      <t>コウリョ</t>
    </rPh>
    <rPh sb="28" eb="30">
      <t>テイド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</si>
</sst>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_ "/>
    <numFmt numFmtId="178" formatCode="0.0&quot;秒&quot;"/>
    <numFmt numFmtId="179" formatCode="0&quot;度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3F9FB"/>
        <bgColor indexed="64"/>
      </patternFill>
    </fill>
  </fills>
  <borders count="77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4" borderId="22" xfId="0" applyFill="1" applyBorder="1">
      <alignment vertical="center"/>
    </xf>
    <xf numFmtId="0" fontId="0" fillId="4" borderId="1" xfId="0" applyFill="1" applyBorder="1">
      <alignment vertical="center"/>
    </xf>
    <xf numFmtId="0" fontId="0" fillId="5" borderId="21" xfId="0" applyFill="1" applyBorder="1">
      <alignment vertical="center"/>
    </xf>
    <xf numFmtId="0" fontId="0" fillId="5" borderId="22" xfId="0" applyFill="1" applyBorder="1">
      <alignment vertical="center"/>
    </xf>
    <xf numFmtId="0" fontId="0" fillId="5" borderId="1" xfId="0" applyFill="1" applyBorder="1">
      <alignment vertical="center"/>
    </xf>
    <xf numFmtId="0" fontId="0" fillId="5" borderId="23" xfId="0" applyFill="1" applyBorder="1">
      <alignment vertical="center"/>
    </xf>
    <xf numFmtId="0" fontId="0" fillId="5" borderId="24" xfId="0" applyFill="1" applyBorder="1">
      <alignment vertical="center"/>
    </xf>
    <xf numFmtId="0" fontId="0" fillId="5" borderId="26" xfId="0" applyFill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6" fillId="4" borderId="21" xfId="0" applyFont="1" applyFill="1" applyBorder="1">
      <alignment vertical="center"/>
    </xf>
    <xf numFmtId="0" fontId="0" fillId="0" borderId="29" xfId="0" applyFill="1" applyBorder="1">
      <alignment vertical="center"/>
    </xf>
    <xf numFmtId="0" fontId="0" fillId="0" borderId="27" xfId="0" applyFill="1" applyBorder="1">
      <alignment vertical="center"/>
    </xf>
    <xf numFmtId="0" fontId="0" fillId="0" borderId="30" xfId="0" applyFill="1" applyBorder="1">
      <alignment vertical="center"/>
    </xf>
    <xf numFmtId="0" fontId="0" fillId="0" borderId="22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0" fillId="0" borderId="23" xfId="0" applyFill="1" applyBorder="1">
      <alignment vertical="center"/>
    </xf>
    <xf numFmtId="0" fontId="0" fillId="0" borderId="24" xfId="0" applyFill="1" applyBorder="1">
      <alignment vertical="center"/>
    </xf>
    <xf numFmtId="0" fontId="0" fillId="0" borderId="34" xfId="0" applyFill="1" applyBorder="1">
      <alignment vertical="center"/>
    </xf>
    <xf numFmtId="0" fontId="0" fillId="0" borderId="35" xfId="0" applyFill="1" applyBorder="1">
      <alignment vertical="center"/>
    </xf>
    <xf numFmtId="0" fontId="0" fillId="0" borderId="26" xfId="0" applyFill="1" applyBorder="1">
      <alignment vertical="center"/>
    </xf>
    <xf numFmtId="0" fontId="0" fillId="0" borderId="1" xfId="0" applyFill="1" applyBorder="1">
      <alignment vertical="center"/>
    </xf>
    <xf numFmtId="0" fontId="5" fillId="0" borderId="21" xfId="0" applyFont="1" applyFill="1" applyBorder="1">
      <alignment vertical="center"/>
    </xf>
    <xf numFmtId="0" fontId="0" fillId="0" borderId="21" xfId="0" applyFill="1" applyBorder="1">
      <alignment vertical="center"/>
    </xf>
    <xf numFmtId="0" fontId="0" fillId="0" borderId="21" xfId="0" applyBorder="1">
      <alignment vertical="center"/>
    </xf>
    <xf numFmtId="0" fontId="0" fillId="0" borderId="27" xfId="0" applyBorder="1">
      <alignment vertical="center"/>
    </xf>
    <xf numFmtId="0" fontId="0" fillId="0" borderId="30" xfId="0" applyBorder="1">
      <alignment vertical="center"/>
    </xf>
    <xf numFmtId="0" fontId="0" fillId="0" borderId="22" xfId="0" applyBorder="1">
      <alignment vertical="center"/>
    </xf>
    <xf numFmtId="0" fontId="0" fillId="0" borderId="29" xfId="0" applyBorder="1">
      <alignment vertical="center"/>
    </xf>
    <xf numFmtId="0" fontId="0" fillId="0" borderId="36" xfId="0" applyBorder="1">
      <alignment vertical="center"/>
    </xf>
    <xf numFmtId="0" fontId="0" fillId="0" borderId="8" xfId="0" applyFont="1" applyBorder="1">
      <alignment vertical="center"/>
    </xf>
    <xf numFmtId="0" fontId="0" fillId="0" borderId="37" xfId="0" applyFill="1" applyBorder="1">
      <alignment vertical="center"/>
    </xf>
    <xf numFmtId="0" fontId="0" fillId="4" borderId="19" xfId="0" applyFill="1" applyBorder="1">
      <alignment vertical="center"/>
    </xf>
    <xf numFmtId="0" fontId="0" fillId="4" borderId="20" xfId="0" applyFill="1" applyBorder="1">
      <alignment vertical="center"/>
    </xf>
    <xf numFmtId="0" fontId="0" fillId="4" borderId="2" xfId="0" applyFill="1" applyBorder="1">
      <alignment vertical="center"/>
    </xf>
    <xf numFmtId="0" fontId="0" fillId="4" borderId="21" xfId="0" applyFill="1" applyBorder="1">
      <alignment vertical="center"/>
    </xf>
    <xf numFmtId="0" fontId="0" fillId="0" borderId="41" xfId="0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5" fillId="5" borderId="35" xfId="0" applyFont="1" applyFill="1" applyBorder="1" applyAlignment="1">
      <alignment vertical="center"/>
    </xf>
    <xf numFmtId="0" fontId="1" fillId="5" borderId="25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vertical="center"/>
    </xf>
    <xf numFmtId="0" fontId="0" fillId="0" borderId="19" xfId="0" applyFill="1" applyBorder="1">
      <alignment vertical="center"/>
    </xf>
    <xf numFmtId="0" fontId="0" fillId="0" borderId="41" xfId="0" applyBorder="1">
      <alignment vertical="center"/>
    </xf>
    <xf numFmtId="0" fontId="0" fillId="6" borderId="44" xfId="0" applyFill="1" applyBorder="1">
      <alignment vertical="center"/>
    </xf>
    <xf numFmtId="0" fontId="0" fillId="0" borderId="20" xfId="0" applyBorder="1">
      <alignment vertical="center"/>
    </xf>
    <xf numFmtId="0" fontId="0" fillId="0" borderId="45" xfId="0" applyFill="1" applyBorder="1">
      <alignment vertical="center"/>
    </xf>
    <xf numFmtId="0" fontId="0" fillId="0" borderId="20" xfId="0" applyFill="1" applyBorder="1">
      <alignment vertical="center"/>
    </xf>
    <xf numFmtId="0" fontId="0" fillId="0" borderId="46" xfId="0" applyFill="1" applyBorder="1">
      <alignment vertical="center"/>
    </xf>
    <xf numFmtId="0" fontId="0" fillId="0" borderId="2" xfId="0" applyBorder="1">
      <alignment vertical="center"/>
    </xf>
    <xf numFmtId="0" fontId="0" fillId="0" borderId="47" xfId="0" applyBorder="1">
      <alignment vertical="center"/>
    </xf>
    <xf numFmtId="0" fontId="0" fillId="0" borderId="28" xfId="0" applyBorder="1">
      <alignment vertical="center"/>
    </xf>
    <xf numFmtId="0" fontId="0" fillId="0" borderId="40" xfId="0" applyBorder="1">
      <alignment vertical="center"/>
    </xf>
    <xf numFmtId="176" fontId="1" fillId="5" borderId="41" xfId="0" applyNumberFormat="1" applyFont="1" applyFill="1" applyBorder="1" applyAlignment="1">
      <alignment vertical="center"/>
    </xf>
    <xf numFmtId="0" fontId="0" fillId="0" borderId="38" xfId="0" applyBorder="1">
      <alignment vertical="center"/>
    </xf>
    <xf numFmtId="0" fontId="0" fillId="0" borderId="39" xfId="0" applyFill="1" applyBorder="1">
      <alignment vertical="center"/>
    </xf>
    <xf numFmtId="0" fontId="0" fillId="6" borderId="42" xfId="0" applyFill="1" applyBorder="1" applyAlignment="1">
      <alignment horizontal="center" vertical="center" wrapText="1"/>
    </xf>
    <xf numFmtId="0" fontId="0" fillId="6" borderId="4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1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4" borderId="21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0" fillId="5" borderId="23" xfId="0" applyFont="1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22" xfId="0" applyBorder="1" applyAlignment="1">
      <alignment vertical="center"/>
    </xf>
    <xf numFmtId="0" fontId="5" fillId="5" borderId="24" xfId="0" applyFont="1" applyFill="1" applyBorder="1" applyAlignment="1">
      <alignment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6" fillId="0" borderId="21" xfId="0" applyFon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7" borderId="23" xfId="0" applyFill="1" applyBorder="1">
      <alignment vertical="center"/>
    </xf>
    <xf numFmtId="0" fontId="0" fillId="7" borderId="24" xfId="0" applyFill="1" applyBorder="1">
      <alignment vertical="center"/>
    </xf>
    <xf numFmtId="0" fontId="0" fillId="7" borderId="34" xfId="0" applyFill="1" applyBorder="1">
      <alignment vertical="center"/>
    </xf>
    <xf numFmtId="0" fontId="0" fillId="7" borderId="37" xfId="0" applyFill="1" applyBorder="1">
      <alignment vertical="center"/>
    </xf>
    <xf numFmtId="0" fontId="0" fillId="7" borderId="35" xfId="0" applyFill="1" applyBorder="1">
      <alignment vertical="center"/>
    </xf>
    <xf numFmtId="0" fontId="0" fillId="7" borderId="48" xfId="0" applyFill="1" applyBorder="1">
      <alignment vertical="center"/>
    </xf>
    <xf numFmtId="0" fontId="0" fillId="7" borderId="26" xfId="0" applyFill="1" applyBorder="1">
      <alignment vertical="center"/>
    </xf>
    <xf numFmtId="0" fontId="9" fillId="0" borderId="0" xfId="0" applyFont="1">
      <alignment vertical="center"/>
    </xf>
    <xf numFmtId="0" fontId="0" fillId="0" borderId="44" xfId="0" applyFill="1" applyBorder="1">
      <alignment vertical="center"/>
    </xf>
    <xf numFmtId="0" fontId="1" fillId="0" borderId="53" xfId="0" applyFont="1" applyFill="1" applyBorder="1" applyAlignment="1">
      <alignment vertical="center"/>
    </xf>
    <xf numFmtId="0" fontId="0" fillId="0" borderId="54" xfId="0" applyFill="1" applyBorder="1">
      <alignment vertical="center"/>
    </xf>
    <xf numFmtId="0" fontId="1" fillId="0" borderId="55" xfId="0" applyFont="1" applyFill="1" applyBorder="1" applyAlignment="1">
      <alignment vertical="center"/>
    </xf>
    <xf numFmtId="0" fontId="0" fillId="6" borderId="44" xfId="0" applyFill="1" applyBorder="1" applyAlignment="1">
      <alignment horizontal="center" vertical="center"/>
    </xf>
    <xf numFmtId="0" fontId="0" fillId="6" borderId="53" xfId="0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6" borderId="56" xfId="0" applyFill="1" applyBorder="1">
      <alignment vertical="center"/>
    </xf>
    <xf numFmtId="0" fontId="0" fillId="6" borderId="58" xfId="0" applyFill="1" applyBorder="1" applyAlignment="1">
      <alignment horizontal="center" vertical="center"/>
    </xf>
    <xf numFmtId="0" fontId="0" fillId="6" borderId="58" xfId="0" applyFill="1" applyBorder="1">
      <alignment vertical="center"/>
    </xf>
    <xf numFmtId="0" fontId="0" fillId="6" borderId="59" xfId="0" applyFill="1" applyBorder="1">
      <alignment vertical="center"/>
    </xf>
    <xf numFmtId="0" fontId="0" fillId="6" borderId="30" xfId="0" applyFill="1" applyBorder="1" applyAlignment="1">
      <alignment horizontal="center" vertical="center"/>
    </xf>
    <xf numFmtId="0" fontId="1" fillId="0" borderId="30" xfId="0" applyFont="1" applyFill="1" applyBorder="1" applyAlignment="1">
      <alignment vertical="center"/>
    </xf>
    <xf numFmtId="0" fontId="1" fillId="0" borderId="37" xfId="0" applyFont="1" applyFill="1" applyBorder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Fill="1" applyBorder="1" applyProtection="1">
      <alignment vertical="center"/>
      <protection hidden="1"/>
    </xf>
    <xf numFmtId="0" fontId="0" fillId="6" borderId="41" xfId="0" applyFill="1" applyBorder="1" applyProtection="1">
      <alignment vertical="center"/>
      <protection hidden="1"/>
    </xf>
    <xf numFmtId="0" fontId="0" fillId="4" borderId="41" xfId="0" applyFill="1" applyBorder="1" applyProtection="1">
      <alignment vertical="center"/>
      <protection hidden="1"/>
    </xf>
    <xf numFmtId="176" fontId="0" fillId="0" borderId="41" xfId="0" applyNumberFormat="1" applyBorder="1" applyProtection="1">
      <alignment vertical="center"/>
      <protection hidden="1"/>
    </xf>
    <xf numFmtId="0" fontId="0" fillId="0" borderId="41" xfId="0" applyBorder="1" applyProtection="1">
      <alignment vertical="center"/>
      <protection hidden="1"/>
    </xf>
    <xf numFmtId="0" fontId="1" fillId="5" borderId="41" xfId="0" applyFont="1" applyFill="1" applyBorder="1" applyAlignment="1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0" fillId="0" borderId="0" xfId="0" applyFont="1" applyProtection="1">
      <alignment vertical="center"/>
      <protection hidden="1"/>
    </xf>
    <xf numFmtId="0" fontId="0" fillId="0" borderId="36" xfId="0" applyBorder="1" applyProtection="1">
      <alignment vertical="center"/>
      <protection hidden="1"/>
    </xf>
    <xf numFmtId="0" fontId="0" fillId="0" borderId="12" xfId="0" applyBorder="1" applyProtection="1">
      <alignment vertical="center"/>
      <protection hidden="1"/>
    </xf>
    <xf numFmtId="0" fontId="0" fillId="0" borderId="49" xfId="0" applyFont="1" applyBorder="1" applyProtection="1">
      <alignment vertical="center"/>
      <protection hidden="1"/>
    </xf>
    <xf numFmtId="0" fontId="0" fillId="0" borderId="21" xfId="0" applyBorder="1" applyProtection="1">
      <alignment vertical="center"/>
      <protection hidden="1"/>
    </xf>
    <xf numFmtId="0" fontId="0" fillId="0" borderId="22" xfId="0" applyBorder="1" applyProtection="1">
      <alignment vertical="center"/>
      <protection hidden="1"/>
    </xf>
    <xf numFmtId="0" fontId="0" fillId="0" borderId="50" xfId="0" applyBorder="1" applyProtection="1">
      <alignment vertical="center"/>
      <protection hidden="1"/>
    </xf>
    <xf numFmtId="0" fontId="5" fillId="0" borderId="21" xfId="0" applyFont="1" applyFill="1" applyBorder="1" applyProtection="1">
      <alignment vertical="center"/>
      <protection hidden="1"/>
    </xf>
    <xf numFmtId="0" fontId="0" fillId="0" borderId="22" xfId="0" applyFill="1" applyBorder="1" applyProtection="1">
      <alignment vertical="center"/>
      <protection hidden="1"/>
    </xf>
    <xf numFmtId="0" fontId="0" fillId="0" borderId="50" xfId="0" applyFill="1" applyBorder="1" applyProtection="1">
      <alignment vertical="center"/>
      <protection hidden="1"/>
    </xf>
    <xf numFmtId="0" fontId="0" fillId="0" borderId="21" xfId="0" applyFill="1" applyBorder="1" applyProtection="1">
      <alignment vertical="center"/>
      <protection hidden="1"/>
    </xf>
    <xf numFmtId="0" fontId="0" fillId="0" borderId="23" xfId="0" applyFill="1" applyBorder="1" applyProtection="1">
      <alignment vertical="center"/>
      <protection hidden="1"/>
    </xf>
    <xf numFmtId="0" fontId="0" fillId="0" borderId="24" xfId="0" applyFill="1" applyBorder="1" applyProtection="1">
      <alignment vertical="center"/>
      <protection hidden="1"/>
    </xf>
    <xf numFmtId="0" fontId="0" fillId="0" borderId="51" xfId="0" applyFill="1" applyBorder="1" applyProtection="1">
      <alignment vertical="center"/>
      <protection hidden="1"/>
    </xf>
    <xf numFmtId="0" fontId="0" fillId="0" borderId="19" xfId="0" applyFill="1" applyBorder="1" applyProtection="1">
      <alignment vertical="center"/>
      <protection hidden="1"/>
    </xf>
    <xf numFmtId="0" fontId="0" fillId="0" borderId="20" xfId="0" applyBorder="1" applyProtection="1">
      <alignment vertical="center"/>
      <protection hidden="1"/>
    </xf>
    <xf numFmtId="0" fontId="0" fillId="0" borderId="52" xfId="0" applyFill="1" applyBorder="1" applyProtection="1">
      <alignment vertical="center"/>
      <protection hidden="1"/>
    </xf>
    <xf numFmtId="0" fontId="0" fillId="0" borderId="0" xfId="0" applyFill="1" applyProtection="1">
      <alignment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0" fillId="0" borderId="11" xfId="0" applyFont="1" applyBorder="1" applyAlignment="1" applyProtection="1">
      <alignment vertical="center"/>
      <protection hidden="1"/>
    </xf>
    <xf numFmtId="0" fontId="0" fillId="0" borderId="17" xfId="0" applyFont="1" applyBorder="1" applyAlignment="1" applyProtection="1">
      <alignment vertical="center"/>
      <protection hidden="1"/>
    </xf>
    <xf numFmtId="0" fontId="6" fillId="9" borderId="2" xfId="0" applyFont="1" applyFill="1" applyBorder="1" applyAlignment="1" applyProtection="1">
      <alignment horizontal="right" vertical="center"/>
      <protection locked="0"/>
    </xf>
    <xf numFmtId="0" fontId="6" fillId="9" borderId="1" xfId="0" applyFont="1" applyFill="1" applyBorder="1" applyAlignment="1" applyProtection="1">
      <alignment horizontal="right" vertical="center"/>
      <protection locked="0"/>
    </xf>
    <xf numFmtId="0" fontId="6" fillId="8" borderId="0" xfId="0" applyFont="1" applyFill="1" applyProtection="1">
      <alignment vertical="center"/>
    </xf>
    <xf numFmtId="0" fontId="6" fillId="0" borderId="0" xfId="0" applyFont="1" applyProtection="1">
      <alignment vertical="center"/>
    </xf>
    <xf numFmtId="0" fontId="6" fillId="10" borderId="2" xfId="0" applyFont="1" applyFill="1" applyBorder="1" applyAlignment="1" applyProtection="1">
      <alignment horizontal="center" vertical="center"/>
    </xf>
    <xf numFmtId="0" fontId="6" fillId="8" borderId="0" xfId="0" applyFont="1" applyFill="1" applyBorder="1" applyAlignment="1" applyProtection="1">
      <alignment horizontal="center" vertical="center"/>
    </xf>
    <xf numFmtId="0" fontId="6" fillId="10" borderId="74" xfId="0" applyFont="1" applyFill="1" applyBorder="1" applyAlignment="1" applyProtection="1">
      <alignment horizontal="center" vertical="center" wrapText="1"/>
    </xf>
    <xf numFmtId="0" fontId="6" fillId="8" borderId="0" xfId="0" applyFont="1" applyFill="1" applyAlignment="1" applyProtection="1">
      <alignment horizontal="center" vertical="center" wrapText="1"/>
    </xf>
    <xf numFmtId="0" fontId="6" fillId="7" borderId="19" xfId="0" applyFont="1" applyFill="1" applyBorder="1" applyAlignment="1" applyProtection="1">
      <alignment vertical="center"/>
    </xf>
    <xf numFmtId="0" fontId="6" fillId="7" borderId="40" xfId="0" applyFont="1" applyFill="1" applyBorder="1" applyProtection="1">
      <alignment vertical="center"/>
    </xf>
    <xf numFmtId="0" fontId="6" fillId="7" borderId="19" xfId="0" applyFont="1" applyFill="1" applyBorder="1" applyAlignment="1" applyProtection="1">
      <alignment horizontal="center" vertical="center" wrapText="1"/>
    </xf>
    <xf numFmtId="0" fontId="6" fillId="8" borderId="0" xfId="0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7" borderId="73" xfId="0" applyFont="1" applyFill="1" applyBorder="1" applyAlignment="1" applyProtection="1">
      <alignment horizontal="center" vertical="center"/>
    </xf>
    <xf numFmtId="0" fontId="6" fillId="7" borderId="18" xfId="0" applyFont="1" applyFill="1" applyBorder="1" applyProtection="1">
      <alignment vertical="center"/>
    </xf>
    <xf numFmtId="0" fontId="6" fillId="7" borderId="21" xfId="0" applyFont="1" applyFill="1" applyBorder="1" applyAlignment="1" applyProtection="1">
      <alignment vertical="center"/>
    </xf>
    <xf numFmtId="0" fontId="6" fillId="7" borderId="27" xfId="0" applyFont="1" applyFill="1" applyBorder="1" applyProtection="1">
      <alignment vertical="center"/>
    </xf>
    <xf numFmtId="0" fontId="6" fillId="7" borderId="21" xfId="0" applyFont="1" applyFill="1" applyBorder="1" applyProtection="1">
      <alignment vertical="center"/>
    </xf>
    <xf numFmtId="0" fontId="6" fillId="7" borderId="44" xfId="0" applyFont="1" applyFill="1" applyBorder="1" applyAlignment="1" applyProtection="1">
      <alignment horizontal="center" vertical="center"/>
    </xf>
    <xf numFmtId="0" fontId="6" fillId="7" borderId="1" xfId="0" applyFont="1" applyFill="1" applyBorder="1" applyProtection="1">
      <alignment vertical="center"/>
    </xf>
    <xf numFmtId="0" fontId="6" fillId="7" borderId="27" xfId="0" applyFont="1" applyFill="1" applyBorder="1" applyAlignment="1" applyProtection="1">
      <alignment horizontal="left" vertical="center"/>
    </xf>
    <xf numFmtId="0" fontId="6" fillId="7" borderId="54" xfId="0" applyFont="1" applyFill="1" applyBorder="1" applyAlignment="1" applyProtection="1">
      <alignment horizontal="center" vertical="center"/>
    </xf>
    <xf numFmtId="0" fontId="6" fillId="7" borderId="26" xfId="0" applyFont="1" applyFill="1" applyBorder="1" applyProtection="1">
      <alignment vertical="center"/>
    </xf>
    <xf numFmtId="0" fontId="6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Alignment="1" applyProtection="1">
      <alignment vertical="center"/>
    </xf>
    <xf numFmtId="0" fontId="6" fillId="7" borderId="36" xfId="0" applyFont="1" applyFill="1" applyBorder="1" applyAlignment="1" applyProtection="1">
      <alignment vertical="center"/>
    </xf>
    <xf numFmtId="0" fontId="6" fillId="7" borderId="12" xfId="0" applyFont="1" applyFill="1" applyBorder="1" applyAlignment="1" applyProtection="1">
      <alignment vertical="center"/>
    </xf>
    <xf numFmtId="0" fontId="6" fillId="7" borderId="18" xfId="0" applyFont="1" applyFill="1" applyBorder="1" applyAlignment="1" applyProtection="1">
      <alignment vertical="center"/>
    </xf>
    <xf numFmtId="0" fontId="6" fillId="8" borderId="0" xfId="0" applyFont="1" applyFill="1" applyBorder="1" applyAlignment="1" applyProtection="1">
      <alignment vertical="center"/>
    </xf>
    <xf numFmtId="0" fontId="6" fillId="7" borderId="0" xfId="0" applyFont="1" applyFill="1" applyProtection="1">
      <alignment vertical="center"/>
    </xf>
    <xf numFmtId="0" fontId="6" fillId="7" borderId="23" xfId="0" applyFont="1" applyFill="1" applyBorder="1" applyAlignment="1" applyProtection="1">
      <alignment vertical="center"/>
    </xf>
    <xf numFmtId="0" fontId="6" fillId="7" borderId="35" xfId="0" applyFont="1" applyFill="1" applyBorder="1" applyProtection="1">
      <alignment vertical="center"/>
    </xf>
    <xf numFmtId="0" fontId="6" fillId="7" borderId="70" xfId="0" applyFont="1" applyFill="1" applyBorder="1" applyProtection="1">
      <alignment vertical="center"/>
    </xf>
    <xf numFmtId="0" fontId="6" fillId="11" borderId="12" xfId="0" applyFont="1" applyFill="1" applyBorder="1" applyProtection="1">
      <alignment vertical="center"/>
    </xf>
    <xf numFmtId="177" fontId="6" fillId="11" borderId="22" xfId="0" applyNumberFormat="1" applyFont="1" applyFill="1" applyBorder="1" applyProtection="1">
      <alignment vertical="center"/>
    </xf>
    <xf numFmtId="0" fontId="6" fillId="11" borderId="24" xfId="0" applyFont="1" applyFill="1" applyBorder="1" applyProtection="1">
      <alignment vertical="center"/>
    </xf>
    <xf numFmtId="0" fontId="6" fillId="7" borderId="10" xfId="0" applyFont="1" applyFill="1" applyBorder="1" applyAlignment="1" applyProtection="1">
      <alignment horizontal="center" vertical="center"/>
    </xf>
    <xf numFmtId="0" fontId="6" fillId="7" borderId="30" xfId="0" applyFont="1" applyFill="1" applyBorder="1" applyAlignment="1" applyProtection="1">
      <alignment horizontal="center" vertical="center"/>
    </xf>
    <xf numFmtId="0" fontId="6" fillId="7" borderId="37" xfId="0" applyFont="1" applyFill="1" applyBorder="1" applyAlignment="1" applyProtection="1">
      <alignment horizontal="center" vertical="center"/>
    </xf>
    <xf numFmtId="9" fontId="6" fillId="9" borderId="1" xfId="0" applyNumberFormat="1" applyFont="1" applyFill="1" applyBorder="1" applyAlignment="1" applyProtection="1">
      <alignment horizontal="right" vertical="center"/>
      <protection locked="0"/>
    </xf>
    <xf numFmtId="0" fontId="6" fillId="7" borderId="0" xfId="0" applyFont="1" applyFill="1" applyAlignment="1" applyProtection="1">
      <alignment horizontal="center" vertical="center"/>
    </xf>
    <xf numFmtId="178" fontId="6" fillId="9" borderId="26" xfId="0" applyNumberFormat="1" applyFont="1" applyFill="1" applyBorder="1" applyAlignment="1" applyProtection="1">
      <alignment horizontal="right" vertical="center"/>
      <protection locked="0"/>
    </xf>
    <xf numFmtId="179" fontId="6" fillId="9" borderId="1" xfId="0" applyNumberFormat="1" applyFont="1" applyFill="1" applyBorder="1" applyAlignment="1" applyProtection="1">
      <alignment horizontal="right" vertical="center"/>
      <protection locked="0"/>
    </xf>
    <xf numFmtId="0" fontId="0" fillId="6" borderId="42" xfId="0" applyFill="1" applyBorder="1" applyAlignment="1">
      <alignment horizontal="center" vertical="center"/>
    </xf>
    <xf numFmtId="0" fontId="0" fillId="6" borderId="57" xfId="0" applyFill="1" applyBorder="1" applyAlignment="1">
      <alignment horizontal="center" vertical="center"/>
    </xf>
    <xf numFmtId="0" fontId="0" fillId="6" borderId="40" xfId="0" applyFill="1" applyBorder="1" applyAlignment="1">
      <alignment horizontal="center" vertical="center"/>
    </xf>
    <xf numFmtId="0" fontId="4" fillId="3" borderId="60" xfId="0" applyFont="1" applyFill="1" applyBorder="1" applyAlignment="1">
      <alignment horizontal="center" vertical="center"/>
    </xf>
    <xf numFmtId="0" fontId="4" fillId="3" borderId="61" xfId="0" applyFont="1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0" fontId="0" fillId="0" borderId="41" xfId="0" applyFill="1" applyBorder="1" applyAlignment="1">
      <alignment vertical="center"/>
    </xf>
    <xf numFmtId="0" fontId="6" fillId="9" borderId="75" xfId="0" applyFont="1" applyFill="1" applyBorder="1" applyAlignment="1" applyProtection="1">
      <alignment horizontal="center" vertical="center"/>
      <protection locked="0"/>
    </xf>
    <xf numFmtId="0" fontId="6" fillId="9" borderId="62" xfId="0" applyFont="1" applyFill="1" applyBorder="1" applyAlignment="1" applyProtection="1">
      <alignment horizontal="center" vertical="center"/>
      <protection locked="0"/>
    </xf>
    <xf numFmtId="0" fontId="6" fillId="7" borderId="20" xfId="0" applyFont="1" applyFill="1" applyBorder="1" applyAlignment="1" applyProtection="1">
      <alignment horizontal="left" vertical="center"/>
    </xf>
    <xf numFmtId="0" fontId="6" fillId="7" borderId="2" xfId="0" applyFont="1" applyFill="1" applyBorder="1" applyAlignment="1" applyProtection="1">
      <alignment horizontal="left" vertical="center"/>
    </xf>
    <xf numFmtId="0" fontId="6" fillId="7" borderId="22" xfId="0" applyFont="1" applyFill="1" applyBorder="1" applyAlignment="1" applyProtection="1">
      <alignment horizontal="left" vertical="center"/>
    </xf>
    <xf numFmtId="0" fontId="6" fillId="7" borderId="1" xfId="0" applyFont="1" applyFill="1" applyBorder="1" applyAlignment="1" applyProtection="1">
      <alignment horizontal="left" vertical="center"/>
    </xf>
    <xf numFmtId="0" fontId="6" fillId="7" borderId="27" xfId="0" applyFont="1" applyFill="1" applyBorder="1" applyAlignment="1" applyProtection="1">
      <alignment horizontal="left" vertical="center"/>
    </xf>
    <xf numFmtId="0" fontId="6" fillId="7" borderId="41" xfId="0" applyFont="1" applyFill="1" applyBorder="1" applyAlignment="1" applyProtection="1">
      <alignment horizontal="left" vertical="center"/>
    </xf>
    <xf numFmtId="0" fontId="6" fillId="7" borderId="53" xfId="0" applyFont="1" applyFill="1" applyBorder="1" applyAlignment="1" applyProtection="1">
      <alignment horizontal="left" vertical="center"/>
    </xf>
    <xf numFmtId="0" fontId="6" fillId="10" borderId="60" xfId="0" applyFont="1" applyFill="1" applyBorder="1" applyAlignment="1" applyProtection="1">
      <alignment horizontal="center" vertical="center"/>
    </xf>
    <xf numFmtId="0" fontId="6" fillId="10" borderId="71" xfId="0" applyFont="1" applyFill="1" applyBorder="1" applyAlignment="1" applyProtection="1">
      <alignment horizontal="center" vertical="center"/>
    </xf>
    <xf numFmtId="0" fontId="6" fillId="10" borderId="72" xfId="0" applyFont="1" applyFill="1" applyBorder="1" applyAlignment="1" applyProtection="1">
      <alignment horizontal="center" vertical="center"/>
    </xf>
    <xf numFmtId="0" fontId="6" fillId="10" borderId="61" xfId="0" applyFont="1" applyFill="1" applyBorder="1" applyAlignment="1" applyProtection="1">
      <alignment horizontal="center" vertical="center"/>
    </xf>
    <xf numFmtId="0" fontId="6" fillId="7" borderId="66" xfId="0" applyFont="1" applyFill="1" applyBorder="1" applyAlignment="1" applyProtection="1">
      <alignment horizontal="left" vertical="center"/>
    </xf>
    <xf numFmtId="0" fontId="6" fillId="7" borderId="67" xfId="0" applyFont="1" applyFill="1" applyBorder="1" applyAlignment="1" applyProtection="1">
      <alignment horizontal="left" vertical="center"/>
    </xf>
    <xf numFmtId="0" fontId="6" fillId="7" borderId="68" xfId="0" applyFont="1" applyFill="1" applyBorder="1" applyAlignment="1" applyProtection="1">
      <alignment horizontal="left" vertical="center"/>
    </xf>
    <xf numFmtId="0" fontId="6" fillId="7" borderId="63" xfId="0" applyFont="1" applyFill="1" applyBorder="1" applyAlignment="1" applyProtection="1">
      <alignment horizontal="left" vertical="center"/>
    </xf>
    <xf numFmtId="0" fontId="6" fillId="7" borderId="36" xfId="0" applyFont="1" applyFill="1" applyBorder="1" applyAlignment="1" applyProtection="1">
      <alignment horizontal="left" vertical="center"/>
    </xf>
    <xf numFmtId="0" fontId="6" fillId="7" borderId="32" xfId="0" applyFont="1" applyFill="1" applyBorder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left" vertical="center"/>
    </xf>
    <xf numFmtId="0" fontId="6" fillId="9" borderId="64" xfId="0" applyFont="1" applyFill="1" applyBorder="1" applyAlignment="1" applyProtection="1">
      <alignment horizontal="right" vertical="center"/>
      <protection locked="0"/>
    </xf>
    <xf numFmtId="0" fontId="6" fillId="9" borderId="65" xfId="0" applyFont="1" applyFill="1" applyBorder="1" applyAlignment="1" applyProtection="1">
      <alignment horizontal="right" vertical="center"/>
      <protection locked="0"/>
    </xf>
    <xf numFmtId="0" fontId="6" fillId="7" borderId="69" xfId="0" applyFont="1" applyFill="1" applyBorder="1" applyAlignment="1" applyProtection="1">
      <alignment horizontal="left" vertical="center" wrapText="1"/>
    </xf>
    <xf numFmtId="0" fontId="6" fillId="7" borderId="39" xfId="0" applyFont="1" applyFill="1" applyBorder="1" applyAlignment="1" applyProtection="1">
      <alignment horizontal="left" vertical="center" wrapText="1"/>
    </xf>
    <xf numFmtId="0" fontId="6" fillId="7" borderId="12" xfId="0" applyFont="1" applyFill="1" applyBorder="1" applyAlignment="1" applyProtection="1">
      <alignment horizontal="left" vertical="center" wrapText="1"/>
    </xf>
    <xf numFmtId="0" fontId="6" fillId="7" borderId="18" xfId="0" applyFont="1" applyFill="1" applyBorder="1" applyAlignment="1" applyProtection="1">
      <alignment horizontal="left" vertical="center" wrapText="1"/>
    </xf>
    <xf numFmtId="0" fontId="6" fillId="7" borderId="63" xfId="0" applyFont="1" applyFill="1" applyBorder="1" applyAlignment="1" applyProtection="1">
      <alignment horizontal="center" vertical="center"/>
    </xf>
    <xf numFmtId="0" fontId="6" fillId="7" borderId="36" xfId="0" applyFont="1" applyFill="1" applyBorder="1" applyAlignment="1" applyProtection="1">
      <alignment horizontal="center" vertical="center"/>
    </xf>
    <xf numFmtId="0" fontId="6" fillId="8" borderId="76" xfId="0" applyFont="1" applyFill="1" applyBorder="1" applyAlignment="1" applyProtection="1">
      <alignment horizontal="center" vertical="center"/>
    </xf>
    <xf numFmtId="0" fontId="6" fillId="8" borderId="72" xfId="0" applyFont="1" applyFill="1" applyBorder="1" applyAlignment="1" applyProtection="1">
      <alignment horizontal="left" vertical="center" wrapText="1"/>
    </xf>
    <xf numFmtId="0" fontId="6" fillId="8" borderId="72" xfId="0" applyFont="1" applyFill="1" applyBorder="1" applyAlignment="1" applyProtection="1">
      <alignment horizontal="left" vertical="center"/>
    </xf>
    <xf numFmtId="0" fontId="6" fillId="8" borderId="0" xfId="0" applyFont="1" applyFill="1" applyAlignment="1" applyProtection="1">
      <alignment horizontal="left" vertical="center" wrapText="1"/>
    </xf>
    <xf numFmtId="0" fontId="6" fillId="8" borderId="0" xfId="0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21" xfId="0" applyFill="1" applyBorder="1" applyAlignment="1" applyProtection="1">
      <alignment vertical="center"/>
      <protection hidden="1"/>
    </xf>
    <xf numFmtId="0" fontId="0" fillId="0" borderId="27" xfId="0" applyFill="1" applyBorder="1" applyAlignment="1" applyProtection="1">
      <alignment vertical="center"/>
      <protection hidden="1"/>
    </xf>
    <xf numFmtId="0" fontId="0" fillId="0" borderId="21" xfId="0" applyFill="1" applyBorder="1" applyAlignment="1">
      <alignment vertical="center"/>
    </xf>
    <xf numFmtId="0" fontId="0" fillId="0" borderId="27" xfId="0" applyFill="1" applyBorder="1" applyAlignment="1">
      <alignment vertical="center"/>
    </xf>
  </cellXfs>
  <cellStyles count="1">
    <cellStyle name="標準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none"/>
      </font>
    </dxf>
  </dxfs>
  <tableStyles count="0" defaultTableStyle="TableStyleMedium2" defaultPivotStyle="PivotStyleLight16"/>
  <colors>
    <mruColors>
      <color rgb="FFF3F9FB"/>
      <color rgb="FFFFFFCC"/>
      <color rgb="FFCCFFFF"/>
      <color rgb="FFD9D9D9"/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84736549773207"/>
          <c:y val="0.12506639144119477"/>
          <c:w val="0.76095129703686137"/>
          <c:h val="0.63993666666666671"/>
        </c:manualLayout>
      </c:layout>
      <c:scatterChart>
        <c:scatterStyle val="lineMarker"/>
        <c:varyColors val="0"/>
        <c:ser>
          <c:idx val="0"/>
          <c:order val="0"/>
          <c:tx>
            <c:strRef>
              <c:f>AWRⅡ010B!$D$22</c:f>
              <c:strCache>
                <c:ptCount val="1"/>
                <c:pt idx="0">
                  <c:v>ta:1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AWRⅡ010B!$C$23:$C$42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AWRⅡ010B!$D$23:$D$42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59.566194348184844</c:v>
                </c:pt>
                <c:pt idx="6">
                  <c:v>41.516300774655896</c:v>
                </c:pt>
                <c:pt idx="7">
                  <c:v>27.857505158105837</c:v>
                </c:pt>
                <c:pt idx="8">
                  <c:v>17.161208848376113</c:v>
                </c:pt>
                <c:pt idx="9">
                  <c:v>8.5578897945328993</c:v>
                </c:pt>
                <c:pt idx="10">
                  <c:v>1.4879847647395628</c:v>
                </c:pt>
                <c:pt idx="11">
                  <c:v>-4.4249233212698078</c:v>
                </c:pt>
                <c:pt idx="12">
                  <c:v>-9.4433680617089717</c:v>
                </c:pt>
                <c:pt idx="13">
                  <c:v>-13.756039809363568</c:v>
                </c:pt>
                <c:pt idx="14">
                  <c:v>-17.502042492677408</c:v>
                </c:pt>
                <c:pt idx="15">
                  <c:v>-20.786178131794703</c:v>
                </c:pt>
                <c:pt idx="16">
                  <c:v>-23.68890608870797</c:v>
                </c:pt>
                <c:pt idx="17">
                  <c:v>-26.273022855545371</c:v>
                </c:pt>
                <c:pt idx="18">
                  <c:v>-28.588256703757569</c:v>
                </c:pt>
                <c:pt idx="19">
                  <c:v>-30.674499012109031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37-4ECF-A589-E6B8F10BCCB4}"/>
            </c:ext>
          </c:extLst>
        </c:ser>
        <c:ser>
          <c:idx val="1"/>
          <c:order val="1"/>
          <c:tx>
            <c:strRef>
              <c:f>AWRⅡ010B!$E$22</c:f>
              <c:strCache>
                <c:ptCount val="1"/>
                <c:pt idx="0">
                  <c:v>ta:2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AWRⅡ010B!$C$23:$C$42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AWRⅡ010B!$E$23:$E$42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69.813170079773187</c:v>
                </c:pt>
                <c:pt idx="7">
                  <c:v>55.715010316211675</c:v>
                </c:pt>
                <c:pt idx="8">
                  <c:v>34.322417696752225</c:v>
                </c:pt>
                <c:pt idx="9">
                  <c:v>17.115779589065799</c:v>
                </c:pt>
                <c:pt idx="10">
                  <c:v>2.9759695294791255</c:v>
                </c:pt>
                <c:pt idx="11">
                  <c:v>-8.8498466425396156</c:v>
                </c:pt>
                <c:pt idx="12">
                  <c:v>-18.886736123417943</c:v>
                </c:pt>
                <c:pt idx="13">
                  <c:v>-27.512079618727135</c:v>
                </c:pt>
                <c:pt idx="14">
                  <c:v>-35.004084985354815</c:v>
                </c:pt>
                <c:pt idx="15">
                  <c:v>-41.572356263589406</c:v>
                </c:pt>
                <c:pt idx="16">
                  <c:v>-47.37781217741594</c:v>
                </c:pt>
                <c:pt idx="17">
                  <c:v>-52.546045711090741</c:v>
                </c:pt>
                <c:pt idx="18">
                  <c:v>-57.176513407515138</c:v>
                </c:pt>
                <c:pt idx="19">
                  <c:v>-61.348998024218062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37-4ECF-A589-E6B8F10BCCB4}"/>
            </c:ext>
          </c:extLst>
        </c:ser>
        <c:ser>
          <c:idx val="2"/>
          <c:order val="2"/>
          <c:tx>
            <c:strRef>
              <c:f>AWRⅡ010B!$F$22</c:f>
              <c:strCache>
                <c:ptCount val="1"/>
                <c:pt idx="0">
                  <c:v>ta:4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AWRⅡ010B!$C$23:$C$42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AWRⅡ010B!$F$23:$F$42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69.813170079773187</c:v>
                </c:pt>
                <c:pt idx="7">
                  <c:v>69.813170079773187</c:v>
                </c:pt>
                <c:pt idx="8">
                  <c:v>68.644835393504451</c:v>
                </c:pt>
                <c:pt idx="9">
                  <c:v>34.231559178131597</c:v>
                </c:pt>
                <c:pt idx="10">
                  <c:v>5.951939058958251</c:v>
                </c:pt>
                <c:pt idx="11">
                  <c:v>-17.699693285079231</c:v>
                </c:pt>
                <c:pt idx="12">
                  <c:v>-37.773472246835887</c:v>
                </c:pt>
                <c:pt idx="13">
                  <c:v>-55.024159237454271</c:v>
                </c:pt>
                <c:pt idx="14">
                  <c:v>-70.008169970709631</c:v>
                </c:pt>
                <c:pt idx="15">
                  <c:v>-83.144712527178811</c:v>
                </c:pt>
                <c:pt idx="16">
                  <c:v>-94.75562435483188</c:v>
                </c:pt>
                <c:pt idx="17">
                  <c:v>-105.09209142218148</c:v>
                </c:pt>
                <c:pt idx="18">
                  <c:v>-114.35302681503028</c:v>
                </c:pt>
                <c:pt idx="19">
                  <c:v>-122.69799604843612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37-4ECF-A589-E6B8F10BCCB4}"/>
            </c:ext>
          </c:extLst>
        </c:ser>
        <c:ser>
          <c:idx val="3"/>
          <c:order val="3"/>
          <c:tx>
            <c:strRef>
              <c:f>AWRⅡ010B!$G$22</c:f>
              <c:strCache>
                <c:ptCount val="1"/>
                <c:pt idx="0">
                  <c:v>ta:8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AWRⅡ010B!$C$23:$C$42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AWRⅡ010B!$G$23:$G$42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69.813170079773187</c:v>
                </c:pt>
                <c:pt idx="7">
                  <c:v>69.813170079773187</c:v>
                </c:pt>
                <c:pt idx="8">
                  <c:v>69.813170079773187</c:v>
                </c:pt>
                <c:pt idx="9">
                  <c:v>68.463118356263195</c:v>
                </c:pt>
                <c:pt idx="10">
                  <c:v>11.903878117916502</c:v>
                </c:pt>
                <c:pt idx="11">
                  <c:v>-35.399386570158462</c:v>
                </c:pt>
                <c:pt idx="12">
                  <c:v>-75.546944493671774</c:v>
                </c:pt>
                <c:pt idx="13">
                  <c:v>-110.04831847490854</c:v>
                </c:pt>
                <c:pt idx="14">
                  <c:v>-140.01633994141926</c:v>
                </c:pt>
                <c:pt idx="15">
                  <c:v>-166.28942505435762</c:v>
                </c:pt>
                <c:pt idx="16">
                  <c:v>-189.51124870966376</c:v>
                </c:pt>
                <c:pt idx="17">
                  <c:v>-210.18418284436297</c:v>
                </c:pt>
                <c:pt idx="18">
                  <c:v>-228.70605363006055</c:v>
                </c:pt>
                <c:pt idx="19">
                  <c:v>-245.39599209687225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137-4ECF-A589-E6B8F10BC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63872"/>
        <c:axId val="108865792"/>
      </c:scatterChart>
      <c:valAx>
        <c:axId val="108863872"/>
        <c:scaling>
          <c:orientation val="minMax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総重量 </a:t>
                </a:r>
                <a:r>
                  <a:rPr lang="en-US" altLang="ja-JP"/>
                  <a:t>kg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865792"/>
        <c:crosses val="autoZero"/>
        <c:crossBetween val="midCat"/>
      </c:valAx>
      <c:valAx>
        <c:axId val="10886579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走行速度 </a:t>
                </a:r>
                <a:r>
                  <a:rPr lang="en-US" altLang="ja-JP"/>
                  <a:t>m</a:t>
                </a:r>
                <a:r>
                  <a:rPr lang="ja-JP" altLang="en-US"/>
                  <a:t>／</a:t>
                </a:r>
                <a:r>
                  <a:rPr lang="en-US" altLang="ja-JP"/>
                  <a:t>min</a:t>
                </a:r>
                <a:endParaRPr lang="ja-JP" altLang="en-US"/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088638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351203703703705"/>
          <c:y val="4.8546000080542731E-2"/>
          <c:w val="0.75447438271604939"/>
          <c:h val="6.5118345778995237E-2"/>
        </c:manualLayout>
      </c:layout>
      <c:overlay val="0"/>
      <c:spPr>
        <a:solidFill>
          <a:srgbClr val="EEECE1">
            <a:alpha val="50196"/>
          </a:srgbClr>
        </a:solidFill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87008181882454"/>
          <c:y val="3.0210937918474477E-2"/>
          <c:w val="0.85320738011289743"/>
          <c:h val="0.84175735175960142"/>
        </c:manualLayout>
      </c:layout>
      <c:scatterChart>
        <c:scatterStyle val="lineMarker"/>
        <c:varyColors val="0"/>
        <c:ser>
          <c:idx val="0"/>
          <c:order val="0"/>
          <c:tx>
            <c:strRef>
              <c:f>加速時間特性!$B$2</c:f>
              <c:strCache>
                <c:ptCount val="1"/>
                <c:pt idx="0">
                  <c:v>AWRⅡ010B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加速時間特性!$A$3:$A$34</c:f>
              <c:numCache>
                <c:formatCode>General</c:formatCode>
                <c:ptCount val="3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600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1400</c:v>
                </c:pt>
                <c:pt idx="17">
                  <c:v>1600</c:v>
                </c:pt>
                <c:pt idx="18">
                  <c:v>1800</c:v>
                </c:pt>
                <c:pt idx="19">
                  <c:v>2000</c:v>
                </c:pt>
                <c:pt idx="20">
                  <c:v>2200</c:v>
                </c:pt>
                <c:pt idx="21">
                  <c:v>2400</c:v>
                </c:pt>
                <c:pt idx="22">
                  <c:v>2600</c:v>
                </c:pt>
                <c:pt idx="23">
                  <c:v>2800</c:v>
                </c:pt>
                <c:pt idx="24">
                  <c:v>3000</c:v>
                </c:pt>
                <c:pt idx="25">
                  <c:v>3200</c:v>
                </c:pt>
                <c:pt idx="26">
                  <c:v>3400</c:v>
                </c:pt>
                <c:pt idx="27">
                  <c:v>3600</c:v>
                </c:pt>
                <c:pt idx="28">
                  <c:v>4000</c:v>
                </c:pt>
                <c:pt idx="29">
                  <c:v>4400</c:v>
                </c:pt>
                <c:pt idx="30">
                  <c:v>4800</c:v>
                </c:pt>
                <c:pt idx="31">
                  <c:v>5200</c:v>
                </c:pt>
              </c:numCache>
            </c:numRef>
          </c:xVal>
          <c:yVal>
            <c:numRef>
              <c:f>加速時間特性!$B$3:$B$11</c:f>
              <c:numCache>
                <c:formatCode>0.0_ </c:formatCode>
                <c:ptCount val="9"/>
                <c:pt idx="0">
                  <c:v>56.155968682917553</c:v>
                </c:pt>
                <c:pt idx="1">
                  <c:v>56.155968682917553</c:v>
                </c:pt>
                <c:pt idx="2">
                  <c:v>56.155968682917553</c:v>
                </c:pt>
                <c:pt idx="3">
                  <c:v>56.155968682917553</c:v>
                </c:pt>
                <c:pt idx="4">
                  <c:v>56.155968682917553</c:v>
                </c:pt>
                <c:pt idx="5">
                  <c:v>56.155968682917553</c:v>
                </c:pt>
                <c:pt idx="6">
                  <c:v>50.059543114524807</c:v>
                </c:pt>
                <c:pt idx="7">
                  <c:v>35.761394162274399</c:v>
                </c:pt>
                <c:pt idx="8">
                  <c:v>24.55982769064822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BB-46D2-A13A-2AD20B6F2067}"/>
            </c:ext>
          </c:extLst>
        </c:ser>
        <c:ser>
          <c:idx val="1"/>
          <c:order val="1"/>
          <c:tx>
            <c:strRef>
              <c:f>加速時間特性!$C$2</c:f>
              <c:strCache>
                <c:ptCount val="1"/>
                <c:pt idx="0">
                  <c:v>AWRⅡ030B-P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加速時間特性!$A$3:$A$34</c:f>
              <c:numCache>
                <c:formatCode>General</c:formatCode>
                <c:ptCount val="3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600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1400</c:v>
                </c:pt>
                <c:pt idx="17">
                  <c:v>1600</c:v>
                </c:pt>
                <c:pt idx="18">
                  <c:v>1800</c:v>
                </c:pt>
                <c:pt idx="19">
                  <c:v>2000</c:v>
                </c:pt>
                <c:pt idx="20">
                  <c:v>2200</c:v>
                </c:pt>
                <c:pt idx="21">
                  <c:v>2400</c:v>
                </c:pt>
                <c:pt idx="22">
                  <c:v>2600</c:v>
                </c:pt>
                <c:pt idx="23">
                  <c:v>2800</c:v>
                </c:pt>
                <c:pt idx="24">
                  <c:v>3000</c:v>
                </c:pt>
                <c:pt idx="25">
                  <c:v>3200</c:v>
                </c:pt>
                <c:pt idx="26">
                  <c:v>3400</c:v>
                </c:pt>
                <c:pt idx="27">
                  <c:v>3600</c:v>
                </c:pt>
                <c:pt idx="28">
                  <c:v>4000</c:v>
                </c:pt>
                <c:pt idx="29">
                  <c:v>4400</c:v>
                </c:pt>
                <c:pt idx="30">
                  <c:v>4800</c:v>
                </c:pt>
                <c:pt idx="31">
                  <c:v>5200</c:v>
                </c:pt>
              </c:numCache>
            </c:numRef>
          </c:xVal>
          <c:yVal>
            <c:numRef>
              <c:f>加速時間特性!$C$3:$C$20</c:f>
              <c:numCache>
                <c:formatCode>0.0_ </c:formatCode>
                <c:ptCount val="18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69.813170079773187</c:v>
                </c:pt>
                <c:pt idx="7">
                  <c:v>69.813170079773187</c:v>
                </c:pt>
                <c:pt idx="8">
                  <c:v>67.926893732688981</c:v>
                </c:pt>
                <c:pt idx="9">
                  <c:v>54.530728054793357</c:v>
                </c:pt>
                <c:pt idx="10">
                  <c:v>34.244649189519478</c:v>
                </c:pt>
                <c:pt idx="11">
                  <c:v>19.61172629937748</c:v>
                </c:pt>
                <c:pt idx="12">
                  <c:v>8.5578897945328976</c:v>
                </c:pt>
                <c:pt idx="13">
                  <c:v>-8.6890997220520044E-2</c:v>
                </c:pt>
                <c:pt idx="14">
                  <c:v>-7.0327698848676379</c:v>
                </c:pt>
                <c:pt idx="15">
                  <c:v>-17.502042492677429</c:v>
                </c:pt>
                <c:pt idx="16">
                  <c:v>-25.017419776709925</c:v>
                </c:pt>
                <c:pt idx="17">
                  <c:v>-30.674499012109028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BB-46D2-A13A-2AD20B6F2067}"/>
            </c:ext>
          </c:extLst>
        </c:ser>
        <c:ser>
          <c:idx val="2"/>
          <c:order val="2"/>
          <c:tx>
            <c:strRef>
              <c:f>加速時間特性!$D$2</c:f>
              <c:strCache>
                <c:ptCount val="1"/>
                <c:pt idx="0">
                  <c:v>AWRⅡ075B-P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加速時間特性!$A$3:$A$34</c:f>
              <c:numCache>
                <c:formatCode>General</c:formatCode>
                <c:ptCount val="3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600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1400</c:v>
                </c:pt>
                <c:pt idx="17">
                  <c:v>1600</c:v>
                </c:pt>
                <c:pt idx="18">
                  <c:v>1800</c:v>
                </c:pt>
                <c:pt idx="19">
                  <c:v>2000</c:v>
                </c:pt>
                <c:pt idx="20">
                  <c:v>2200</c:v>
                </c:pt>
                <c:pt idx="21">
                  <c:v>2400</c:v>
                </c:pt>
                <c:pt idx="22">
                  <c:v>2600</c:v>
                </c:pt>
                <c:pt idx="23">
                  <c:v>2800</c:v>
                </c:pt>
                <c:pt idx="24">
                  <c:v>3000</c:v>
                </c:pt>
                <c:pt idx="25">
                  <c:v>3200</c:v>
                </c:pt>
                <c:pt idx="26">
                  <c:v>3400</c:v>
                </c:pt>
                <c:pt idx="27">
                  <c:v>3600</c:v>
                </c:pt>
                <c:pt idx="28">
                  <c:v>4000</c:v>
                </c:pt>
                <c:pt idx="29">
                  <c:v>4400</c:v>
                </c:pt>
                <c:pt idx="30">
                  <c:v>4800</c:v>
                </c:pt>
                <c:pt idx="31">
                  <c:v>5200</c:v>
                </c:pt>
              </c:numCache>
            </c:numRef>
          </c:xVal>
          <c:yVal>
            <c:numRef>
              <c:f>加速時間特性!$D$3:$D$28</c:f>
              <c:numCache>
                <c:formatCode>0.0_ </c:formatCode>
                <c:ptCount val="26"/>
                <c:pt idx="0">
                  <c:v>48.171087355043504</c:v>
                </c:pt>
                <c:pt idx="1">
                  <c:v>48.171087355043504</c:v>
                </c:pt>
                <c:pt idx="2">
                  <c:v>48.171087355043504</c:v>
                </c:pt>
                <c:pt idx="3">
                  <c:v>48.171087355043504</c:v>
                </c:pt>
                <c:pt idx="4">
                  <c:v>48.171087355043504</c:v>
                </c:pt>
                <c:pt idx="5">
                  <c:v>48.171087355043504</c:v>
                </c:pt>
                <c:pt idx="6">
                  <c:v>48.171087355043504</c:v>
                </c:pt>
                <c:pt idx="7">
                  <c:v>48.171087355043504</c:v>
                </c:pt>
                <c:pt idx="8">
                  <c:v>48.171087355043504</c:v>
                </c:pt>
                <c:pt idx="9">
                  <c:v>48.171087355043504</c:v>
                </c:pt>
                <c:pt idx="10">
                  <c:v>48.171087355043504</c:v>
                </c:pt>
                <c:pt idx="11">
                  <c:v>48.171087355043504</c:v>
                </c:pt>
                <c:pt idx="12">
                  <c:v>48.171087355043504</c:v>
                </c:pt>
                <c:pt idx="13">
                  <c:v>48.171087355043504</c:v>
                </c:pt>
                <c:pt idx="14">
                  <c:v>48.171087355043504</c:v>
                </c:pt>
                <c:pt idx="15">
                  <c:v>48.171087355043504</c:v>
                </c:pt>
                <c:pt idx="16">
                  <c:v>48.171087355043504</c:v>
                </c:pt>
                <c:pt idx="17">
                  <c:v>48.171087355043504</c:v>
                </c:pt>
                <c:pt idx="18">
                  <c:v>48.171087355043504</c:v>
                </c:pt>
                <c:pt idx="19">
                  <c:v>39.767707907165914</c:v>
                </c:pt>
                <c:pt idx="20">
                  <c:v>30.231686108391013</c:v>
                </c:pt>
                <c:pt idx="21">
                  <c:v>22.210272948165301</c:v>
                </c:pt>
                <c:pt idx="22">
                  <c:v>15.369168419621401</c:v>
                </c:pt>
                <c:pt idx="23">
                  <c:v>9.4657113922693306</c:v>
                </c:pt>
                <c:pt idx="24">
                  <c:v>4.3194932212663062</c:v>
                </c:pt>
                <c:pt idx="25">
                  <c:v>-0.20640197373968572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BB-46D2-A13A-2AD20B6F2067}"/>
            </c:ext>
          </c:extLst>
        </c:ser>
        <c:ser>
          <c:idx val="3"/>
          <c:order val="3"/>
          <c:tx>
            <c:strRef>
              <c:f>加速時間特性!$E$2</c:f>
              <c:strCache>
                <c:ptCount val="1"/>
                <c:pt idx="0">
                  <c:v>AWRⅡ220B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加速時間特性!$A$3:$A$34</c:f>
              <c:numCache>
                <c:formatCode>General</c:formatCode>
                <c:ptCount val="3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600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1400</c:v>
                </c:pt>
                <c:pt idx="17">
                  <c:v>1600</c:v>
                </c:pt>
                <c:pt idx="18">
                  <c:v>1800</c:v>
                </c:pt>
                <c:pt idx="19">
                  <c:v>2000</c:v>
                </c:pt>
                <c:pt idx="20">
                  <c:v>2200</c:v>
                </c:pt>
                <c:pt idx="21">
                  <c:v>2400</c:v>
                </c:pt>
                <c:pt idx="22">
                  <c:v>2600</c:v>
                </c:pt>
                <c:pt idx="23">
                  <c:v>2800</c:v>
                </c:pt>
                <c:pt idx="24">
                  <c:v>3000</c:v>
                </c:pt>
                <c:pt idx="25">
                  <c:v>3200</c:v>
                </c:pt>
                <c:pt idx="26">
                  <c:v>3400</c:v>
                </c:pt>
                <c:pt idx="27">
                  <c:v>3600</c:v>
                </c:pt>
                <c:pt idx="28">
                  <c:v>4000</c:v>
                </c:pt>
                <c:pt idx="29">
                  <c:v>4400</c:v>
                </c:pt>
                <c:pt idx="30">
                  <c:v>4800</c:v>
                </c:pt>
                <c:pt idx="31">
                  <c:v>5200</c:v>
                </c:pt>
              </c:numCache>
            </c:numRef>
          </c:xVal>
          <c:yVal>
            <c:numRef>
              <c:f>加速時間特性!$E$3:$E$32</c:f>
              <c:numCache>
                <c:formatCode>0.0_ </c:formatCode>
                <c:ptCount val="30"/>
                <c:pt idx="0">
                  <c:v>62.831853071795862</c:v>
                </c:pt>
                <c:pt idx="1">
                  <c:v>62.831853071795862</c:v>
                </c:pt>
                <c:pt idx="2">
                  <c:v>62.831853071795862</c:v>
                </c:pt>
                <c:pt idx="3">
                  <c:v>62.831853071795862</c:v>
                </c:pt>
                <c:pt idx="4">
                  <c:v>62.831853071795862</c:v>
                </c:pt>
                <c:pt idx="5">
                  <c:v>62.831853071795862</c:v>
                </c:pt>
                <c:pt idx="6">
                  <c:v>62.831853071795862</c:v>
                </c:pt>
                <c:pt idx="7">
                  <c:v>62.831853071795862</c:v>
                </c:pt>
                <c:pt idx="8">
                  <c:v>62.831853071795862</c:v>
                </c:pt>
                <c:pt idx="9">
                  <c:v>62.831853071795862</c:v>
                </c:pt>
                <c:pt idx="10">
                  <c:v>62.831853071795862</c:v>
                </c:pt>
                <c:pt idx="11">
                  <c:v>62.831853071795862</c:v>
                </c:pt>
                <c:pt idx="12">
                  <c:v>62.831853071795862</c:v>
                </c:pt>
                <c:pt idx="13">
                  <c:v>62.831853071795862</c:v>
                </c:pt>
                <c:pt idx="14">
                  <c:v>62.831853071795862</c:v>
                </c:pt>
                <c:pt idx="15">
                  <c:v>62.831853071795862</c:v>
                </c:pt>
                <c:pt idx="16">
                  <c:v>62.831853071795862</c:v>
                </c:pt>
                <c:pt idx="17">
                  <c:v>62.831853071795862</c:v>
                </c:pt>
                <c:pt idx="18">
                  <c:v>62.831853071795862</c:v>
                </c:pt>
                <c:pt idx="19">
                  <c:v>62.831853071795862</c:v>
                </c:pt>
                <c:pt idx="20">
                  <c:v>62.831853071795862</c:v>
                </c:pt>
                <c:pt idx="21">
                  <c:v>62.831853071795862</c:v>
                </c:pt>
                <c:pt idx="22">
                  <c:v>62.831853071795862</c:v>
                </c:pt>
                <c:pt idx="23">
                  <c:v>62.831853071795862</c:v>
                </c:pt>
                <c:pt idx="24">
                  <c:v>62.831853071795862</c:v>
                </c:pt>
                <c:pt idx="25">
                  <c:v>62.831853071795862</c:v>
                </c:pt>
                <c:pt idx="26">
                  <c:v>62.831853071795862</c:v>
                </c:pt>
                <c:pt idx="27">
                  <c:v>59.408878699117082</c:v>
                </c:pt>
                <c:pt idx="28">
                  <c:v>47.355771964162876</c:v>
                </c:pt>
                <c:pt idx="29">
                  <c:v>37.441067914377527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BB-46D2-A13A-2AD20B6F2067}"/>
            </c:ext>
          </c:extLst>
        </c:ser>
        <c:ser>
          <c:idx val="4"/>
          <c:order val="4"/>
          <c:tx>
            <c:strRef>
              <c:f>加速時間特性!$F$2</c:f>
              <c:strCache>
                <c:ptCount val="1"/>
                <c:pt idx="0">
                  <c:v>SWR010B-T11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加速時間特性!$A$3:$A$34</c:f>
              <c:numCache>
                <c:formatCode>General</c:formatCode>
                <c:ptCount val="3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600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1400</c:v>
                </c:pt>
                <c:pt idx="17">
                  <c:v>1600</c:v>
                </c:pt>
                <c:pt idx="18">
                  <c:v>1800</c:v>
                </c:pt>
                <c:pt idx="19">
                  <c:v>2000</c:v>
                </c:pt>
                <c:pt idx="20">
                  <c:v>2200</c:v>
                </c:pt>
                <c:pt idx="21">
                  <c:v>2400</c:v>
                </c:pt>
                <c:pt idx="22">
                  <c:v>2600</c:v>
                </c:pt>
                <c:pt idx="23">
                  <c:v>2800</c:v>
                </c:pt>
                <c:pt idx="24">
                  <c:v>3000</c:v>
                </c:pt>
                <c:pt idx="25">
                  <c:v>3200</c:v>
                </c:pt>
                <c:pt idx="26">
                  <c:v>3400</c:v>
                </c:pt>
                <c:pt idx="27">
                  <c:v>3600</c:v>
                </c:pt>
                <c:pt idx="28">
                  <c:v>4000</c:v>
                </c:pt>
                <c:pt idx="29">
                  <c:v>4400</c:v>
                </c:pt>
                <c:pt idx="30">
                  <c:v>4800</c:v>
                </c:pt>
                <c:pt idx="31">
                  <c:v>5200</c:v>
                </c:pt>
              </c:numCache>
            </c:numRef>
          </c:xVal>
          <c:yVal>
            <c:numRef>
              <c:f>加速時間特性!$F$3:$F$12</c:f>
              <c:numCache>
                <c:formatCode>0.0_ </c:formatCode>
                <c:ptCount val="10"/>
                <c:pt idx="0">
                  <c:v>60.248306481672671</c:v>
                </c:pt>
                <c:pt idx="1">
                  <c:v>60.248306481672671</c:v>
                </c:pt>
                <c:pt idx="2">
                  <c:v>60.248306481672671</c:v>
                </c:pt>
                <c:pt idx="3">
                  <c:v>60.248306481672671</c:v>
                </c:pt>
                <c:pt idx="4">
                  <c:v>45.701945359545341</c:v>
                </c:pt>
                <c:pt idx="5">
                  <c:v>26.909652324630024</c:v>
                </c:pt>
                <c:pt idx="6">
                  <c:v>13.304896300921593</c:v>
                </c:pt>
                <c:pt idx="7">
                  <c:v>3.0001950941186895</c:v>
                </c:pt>
                <c:pt idx="8">
                  <c:v>-5.0752985329431644</c:v>
                </c:pt>
                <c:pt idx="9">
                  <c:v>-11.574343189700652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BB-46D2-A13A-2AD20B6F2067}"/>
            </c:ext>
          </c:extLst>
        </c:ser>
        <c:ser>
          <c:idx val="5"/>
          <c:order val="5"/>
          <c:tx>
            <c:strRef>
              <c:f>加速時間特性!$G$2</c:f>
              <c:strCache>
                <c:ptCount val="1"/>
                <c:pt idx="0">
                  <c:v>SWR020B-T15</c:v>
                </c:pt>
              </c:strCache>
            </c:strRef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xVal>
            <c:numRef>
              <c:f>加速時間特性!$A$3:$A$34</c:f>
              <c:numCache>
                <c:formatCode>General</c:formatCode>
                <c:ptCount val="3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600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1400</c:v>
                </c:pt>
                <c:pt idx="17">
                  <c:v>1600</c:v>
                </c:pt>
                <c:pt idx="18">
                  <c:v>1800</c:v>
                </c:pt>
                <c:pt idx="19">
                  <c:v>2000</c:v>
                </c:pt>
                <c:pt idx="20">
                  <c:v>2200</c:v>
                </c:pt>
                <c:pt idx="21">
                  <c:v>2400</c:v>
                </c:pt>
                <c:pt idx="22">
                  <c:v>2600</c:v>
                </c:pt>
                <c:pt idx="23">
                  <c:v>2800</c:v>
                </c:pt>
                <c:pt idx="24">
                  <c:v>3000</c:v>
                </c:pt>
                <c:pt idx="25">
                  <c:v>3200</c:v>
                </c:pt>
                <c:pt idx="26">
                  <c:v>3400</c:v>
                </c:pt>
                <c:pt idx="27">
                  <c:v>3600</c:v>
                </c:pt>
                <c:pt idx="28">
                  <c:v>4000</c:v>
                </c:pt>
                <c:pt idx="29">
                  <c:v>4400</c:v>
                </c:pt>
                <c:pt idx="30">
                  <c:v>4800</c:v>
                </c:pt>
                <c:pt idx="31">
                  <c:v>5200</c:v>
                </c:pt>
              </c:numCache>
            </c:numRef>
          </c:xVal>
          <c:yVal>
            <c:numRef>
              <c:f>加速時間特性!$G$3:$G$16</c:f>
              <c:numCache>
                <c:formatCode>0.0_ </c:formatCode>
                <c:ptCount val="14"/>
                <c:pt idx="0">
                  <c:v>62.453347932809137</c:v>
                </c:pt>
                <c:pt idx="1">
                  <c:v>62.453347932809137</c:v>
                </c:pt>
                <c:pt idx="2">
                  <c:v>62.453347932809137</c:v>
                </c:pt>
                <c:pt idx="3">
                  <c:v>62.453347932809137</c:v>
                </c:pt>
                <c:pt idx="4">
                  <c:v>62.453347932809137</c:v>
                </c:pt>
                <c:pt idx="5">
                  <c:v>62.453347932809137</c:v>
                </c:pt>
                <c:pt idx="6">
                  <c:v>62.453347932809137</c:v>
                </c:pt>
                <c:pt idx="7">
                  <c:v>62.453347932809137</c:v>
                </c:pt>
                <c:pt idx="8">
                  <c:v>62.453347932809137</c:v>
                </c:pt>
                <c:pt idx="9">
                  <c:v>52.374606353989378</c:v>
                </c:pt>
                <c:pt idx="10">
                  <c:v>32.200825601116065</c:v>
                </c:pt>
                <c:pt idx="11">
                  <c:v>17.67143125799404</c:v>
                </c:pt>
                <c:pt idx="12">
                  <c:v>6.7082923003978809</c:v>
                </c:pt>
                <c:pt idx="13">
                  <c:v>-1.8580772757508164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CBB-46D2-A13A-2AD20B6F2067}"/>
            </c:ext>
          </c:extLst>
        </c:ser>
        <c:ser>
          <c:idx val="6"/>
          <c:order val="6"/>
          <c:tx>
            <c:strRef>
              <c:f>加速時間特性!$H$2</c:f>
              <c:strCache>
                <c:ptCount val="1"/>
                <c:pt idx="0">
                  <c:v>SWR040B-T23</c:v>
                </c:pt>
              </c:strCache>
            </c:strRef>
          </c:tx>
          <c:spPr>
            <a:ln>
              <a:solidFill>
                <a:srgbClr val="0070C0"/>
              </a:solidFill>
              <a:prstDash val="sysDash"/>
            </a:ln>
          </c:spPr>
          <c:marker>
            <c:symbol val="none"/>
          </c:marker>
          <c:xVal>
            <c:numRef>
              <c:f>加速時間特性!$A$3:$A$34</c:f>
              <c:numCache>
                <c:formatCode>General</c:formatCode>
                <c:ptCount val="3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600</c:v>
                </c:pt>
                <c:pt idx="11">
                  <c:v>700</c:v>
                </c:pt>
                <c:pt idx="12">
                  <c:v>800</c:v>
                </c:pt>
                <c:pt idx="13">
                  <c:v>900</c:v>
                </c:pt>
                <c:pt idx="14">
                  <c:v>1000</c:v>
                </c:pt>
                <c:pt idx="15">
                  <c:v>1200</c:v>
                </c:pt>
                <c:pt idx="16">
                  <c:v>1400</c:v>
                </c:pt>
                <c:pt idx="17">
                  <c:v>1600</c:v>
                </c:pt>
                <c:pt idx="18">
                  <c:v>1800</c:v>
                </c:pt>
                <c:pt idx="19">
                  <c:v>2000</c:v>
                </c:pt>
                <c:pt idx="20">
                  <c:v>2200</c:v>
                </c:pt>
                <c:pt idx="21">
                  <c:v>2400</c:v>
                </c:pt>
                <c:pt idx="22">
                  <c:v>2600</c:v>
                </c:pt>
                <c:pt idx="23">
                  <c:v>2800</c:v>
                </c:pt>
                <c:pt idx="24">
                  <c:v>3000</c:v>
                </c:pt>
                <c:pt idx="25">
                  <c:v>3200</c:v>
                </c:pt>
                <c:pt idx="26">
                  <c:v>3400</c:v>
                </c:pt>
                <c:pt idx="27">
                  <c:v>3600</c:v>
                </c:pt>
                <c:pt idx="28">
                  <c:v>4000</c:v>
                </c:pt>
                <c:pt idx="29">
                  <c:v>4400</c:v>
                </c:pt>
                <c:pt idx="30">
                  <c:v>4800</c:v>
                </c:pt>
                <c:pt idx="31">
                  <c:v>5200</c:v>
                </c:pt>
              </c:numCache>
            </c:numRef>
          </c:xVal>
          <c:yVal>
            <c:numRef>
              <c:f>加速時間特性!$H$3:$H$24</c:f>
              <c:numCache>
                <c:formatCode>0.0_ </c:formatCode>
                <c:ptCount val="22"/>
                <c:pt idx="0">
                  <c:v>53.626416654185306</c:v>
                </c:pt>
                <c:pt idx="1">
                  <c:v>53.626416654185306</c:v>
                </c:pt>
                <c:pt idx="2">
                  <c:v>53.626416654185306</c:v>
                </c:pt>
                <c:pt idx="3">
                  <c:v>53.626416654185306</c:v>
                </c:pt>
                <c:pt idx="4">
                  <c:v>53.626416654185306</c:v>
                </c:pt>
                <c:pt idx="5">
                  <c:v>53.626416654185306</c:v>
                </c:pt>
                <c:pt idx="6">
                  <c:v>53.626416654185306</c:v>
                </c:pt>
                <c:pt idx="7">
                  <c:v>53.626416654185306</c:v>
                </c:pt>
                <c:pt idx="8">
                  <c:v>53.626416654185306</c:v>
                </c:pt>
                <c:pt idx="9">
                  <c:v>53.626416654185306</c:v>
                </c:pt>
                <c:pt idx="10">
                  <c:v>53.626416654185306</c:v>
                </c:pt>
                <c:pt idx="11">
                  <c:v>53.626416654185306</c:v>
                </c:pt>
                <c:pt idx="12">
                  <c:v>44.903113957513355</c:v>
                </c:pt>
                <c:pt idx="13">
                  <c:v>32.196257402462805</c:v>
                </c:pt>
                <c:pt idx="14">
                  <c:v>21.970103935926065</c:v>
                </c:pt>
                <c:pt idx="15">
                  <c:v>6.5287502600080014</c:v>
                </c:pt>
                <c:pt idx="16">
                  <c:v>-4.5765332164175723</c:v>
                </c:pt>
                <c:pt idx="17">
                  <c:v>-12.947293118374102</c:v>
                </c:pt>
                <c:pt idx="18">
                  <c:v>-19.482818927830433</c:v>
                </c:pt>
                <c:pt idx="19">
                  <c:v>-24.727029812751425</c:v>
                </c:pt>
                <c:pt idx="20">
                  <c:v>-29.028230677335863</c:v>
                </c:pt>
                <c:pt idx="21">
                  <c:v>-32.619795935597011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CBB-46D2-A13A-2AD20B6F2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45056"/>
        <c:axId val="108046976"/>
      </c:scatterChart>
      <c:valAx>
        <c:axId val="108045056"/>
        <c:scaling>
          <c:orientation val="minMax"/>
          <c:max val="45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総重量　ｋｇ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046976"/>
        <c:crosses val="autoZero"/>
        <c:crossBetween val="midCat"/>
      </c:valAx>
      <c:valAx>
        <c:axId val="10804697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走行速度 </a:t>
                </a:r>
                <a:r>
                  <a:rPr lang="en-US" altLang="ja-JP"/>
                  <a:t>m/min</a:t>
                </a:r>
                <a:endParaRPr lang="ja-JP" altLang="en-US"/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08045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346956692848026"/>
          <c:y val="0.13596739066113275"/>
          <c:w val="0.28466019922196478"/>
          <c:h val="0.73441994386422527"/>
        </c:manualLayout>
      </c:layout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84736549773207"/>
          <c:y val="0.12506639144119477"/>
          <c:w val="0.76095129703686137"/>
          <c:h val="0.63993666666666671"/>
        </c:manualLayout>
      </c:layout>
      <c:scatterChart>
        <c:scatterStyle val="lineMarker"/>
        <c:varyColors val="0"/>
        <c:ser>
          <c:idx val="0"/>
          <c:order val="0"/>
          <c:tx>
            <c:strRef>
              <c:f>AWRⅡ010B!$L$22</c:f>
              <c:strCache>
                <c:ptCount val="1"/>
                <c:pt idx="0">
                  <c:v>θ:2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AWRⅡ010B!$K$23:$K$42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AWRⅡ010B!$L$23:$L$42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59.566194348184844</c:v>
                </c:pt>
                <c:pt idx="6">
                  <c:v>41.516300774655896</c:v>
                </c:pt>
                <c:pt idx="7">
                  <c:v>27.857505158105837</c:v>
                </c:pt>
                <c:pt idx="8">
                  <c:v>17.161208848376113</c:v>
                </c:pt>
                <c:pt idx="9">
                  <c:v>8.5578897945328993</c:v>
                </c:pt>
                <c:pt idx="10">
                  <c:v>1.4879847647395628</c:v>
                </c:pt>
                <c:pt idx="11">
                  <c:v>-4.4249233212698078</c:v>
                </c:pt>
                <c:pt idx="12">
                  <c:v>-9.4433680617089717</c:v>
                </c:pt>
                <c:pt idx="13">
                  <c:v>-13.756039809363568</c:v>
                </c:pt>
                <c:pt idx="14">
                  <c:v>-17.502042492677408</c:v>
                </c:pt>
                <c:pt idx="15">
                  <c:v>-20.786178131794703</c:v>
                </c:pt>
                <c:pt idx="16">
                  <c:v>-23.68890608870797</c:v>
                </c:pt>
                <c:pt idx="17">
                  <c:v>-26.273022855545371</c:v>
                </c:pt>
                <c:pt idx="18">
                  <c:v>-28.588256703757569</c:v>
                </c:pt>
                <c:pt idx="19">
                  <c:v>-30.674499012109031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AA-4DA4-BE6A-E61984A8E053}"/>
            </c:ext>
          </c:extLst>
        </c:ser>
        <c:ser>
          <c:idx val="1"/>
          <c:order val="1"/>
          <c:tx>
            <c:strRef>
              <c:f>AWRⅡ010B!$M$22</c:f>
              <c:strCache>
                <c:ptCount val="1"/>
                <c:pt idx="0">
                  <c:v>θ:1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AWRⅡ010B!$K$23:$K$42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AWRⅡ010B!$M$23:$M$42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59.950826265851362</c:v>
                </c:pt>
                <c:pt idx="7">
                  <c:v>46.362866004084268</c:v>
                </c:pt>
                <c:pt idx="8">
                  <c:v>35.722041345386884</c:v>
                </c:pt>
                <c:pt idx="9">
                  <c:v>27.163339633701721</c:v>
                </c:pt>
                <c:pt idx="10">
                  <c:v>20.130099566554147</c:v>
                </c:pt>
                <c:pt idx="11">
                  <c:v>14.24785618582553</c:v>
                </c:pt>
                <c:pt idx="12">
                  <c:v>9.2554374087016775</c:v>
                </c:pt>
                <c:pt idx="13">
                  <c:v>4.9651314421806214</c:v>
                </c:pt>
                <c:pt idx="14">
                  <c:v>1.2385557593535041</c:v>
                </c:pt>
                <c:pt idx="15">
                  <c:v>-2.0285481501967895</c:v>
                </c:pt>
                <c:pt idx="16">
                  <c:v>-4.9162223812590389</c:v>
                </c:pt>
                <c:pt idx="17">
                  <c:v>-7.4869377594881046</c:v>
                </c:pt>
                <c:pt idx="18">
                  <c:v>-9.7901646624580039</c:v>
                </c:pt>
                <c:pt idx="19">
                  <c:v>-11.865587589787562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AA-4DA4-BE6A-E61984A8E053}"/>
            </c:ext>
          </c:extLst>
        </c:ser>
        <c:ser>
          <c:idx val="2"/>
          <c:order val="2"/>
          <c:tx>
            <c:strRef>
              <c:f>AWRⅡ010B!$N$22</c:f>
              <c:strCache>
                <c:ptCount val="1"/>
                <c:pt idx="0">
                  <c:v>θ:0.5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AWRⅡ010B!$K$23:$K$42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AWRⅡ010B!$N$23:$N$42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69.174171320294519</c:v>
                </c:pt>
                <c:pt idx="7">
                  <c:v>55.621652107418505</c:v>
                </c:pt>
                <c:pt idx="8">
                  <c:v>45.008581576618546</c:v>
                </c:pt>
                <c:pt idx="9">
                  <c:v>36.472203257110287</c:v>
                </c:pt>
                <c:pt idx="10">
                  <c:v>29.457307768566181</c:v>
                </c:pt>
                <c:pt idx="11">
                  <c:v>23.590406858026558</c:v>
                </c:pt>
                <c:pt idx="12">
                  <c:v>18.611009649597062</c:v>
                </c:pt>
                <c:pt idx="13">
                  <c:v>14.331893953034701</c:v>
                </c:pt>
                <c:pt idx="14">
                  <c:v>10.615038180218134</c:v>
                </c:pt>
                <c:pt idx="15">
                  <c:v>7.3564557549200797</c:v>
                </c:pt>
                <c:pt idx="16">
                  <c:v>4.4763133536271873</c:v>
                </c:pt>
                <c:pt idx="17">
                  <c:v>1.9123030913720991</c:v>
                </c:pt>
                <c:pt idx="18">
                  <c:v>-0.3849163773911301</c:v>
                </c:pt>
                <c:pt idx="19">
                  <c:v>-2.4549260444505796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AA-4DA4-BE6A-E61984A8E053}"/>
            </c:ext>
          </c:extLst>
        </c:ser>
        <c:ser>
          <c:idx val="3"/>
          <c:order val="3"/>
          <c:tx>
            <c:strRef>
              <c:f>AWRⅡ010B!$O$22</c:f>
              <c:strCache>
                <c:ptCount val="1"/>
                <c:pt idx="0">
                  <c:v>θ:0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AWRⅡ010B!$K$23:$K$42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AWRⅡ010B!$O$23:$O$42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69.813170079773187</c:v>
                </c:pt>
                <c:pt idx="7">
                  <c:v>64.883568638467821</c:v>
                </c:pt>
                <c:pt idx="8">
                  <c:v>54.298261619332251</c:v>
                </c:pt>
                <c:pt idx="9">
                  <c:v>45.784214239617299</c:v>
                </c:pt>
                <c:pt idx="10">
                  <c:v>38.787669532042315</c:v>
                </c:pt>
                <c:pt idx="11">
                  <c:v>32.936116279034124</c:v>
                </c:pt>
                <c:pt idx="12">
                  <c:v>27.969745041936552</c:v>
                </c:pt>
                <c:pt idx="13">
                  <c:v>23.701823398802002</c:v>
                </c:pt>
                <c:pt idx="14">
                  <c:v>19.994690822331282</c:v>
                </c:pt>
                <c:pt idx="15">
                  <c:v>16.744632762428857</c:v>
                </c:pt>
                <c:pt idx="16">
                  <c:v>13.87202473744313</c:v>
                </c:pt>
                <c:pt idx="17">
                  <c:v>11.314721858184987</c:v>
                </c:pt>
                <c:pt idx="18">
                  <c:v>9.0235118547627806</c:v>
                </c:pt>
                <c:pt idx="19">
                  <c:v>6.9589172782155542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AA-4DA4-BE6A-E61984A8E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08544"/>
        <c:axId val="108910464"/>
      </c:scatterChart>
      <c:valAx>
        <c:axId val="108908544"/>
        <c:scaling>
          <c:orientation val="minMax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総重量 </a:t>
                </a:r>
                <a:r>
                  <a:rPr lang="en-US" altLang="ja-JP"/>
                  <a:t>kg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910464"/>
        <c:crosses val="autoZero"/>
        <c:crossBetween val="midCat"/>
      </c:valAx>
      <c:valAx>
        <c:axId val="10891046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走行速度 </a:t>
                </a:r>
                <a:r>
                  <a:rPr lang="en-US" altLang="ja-JP"/>
                  <a:t>m</a:t>
                </a:r>
                <a:r>
                  <a:rPr lang="ja-JP" altLang="en-US"/>
                  <a:t>／</a:t>
                </a:r>
                <a:r>
                  <a:rPr lang="en-US" altLang="ja-JP"/>
                  <a:t>min</a:t>
                </a:r>
                <a:endParaRPr lang="ja-JP" altLang="en-US"/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08908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339604774988746"/>
          <c:y val="4.8535194986230268E-2"/>
          <c:w val="0.7572803054999302"/>
          <c:h val="6.4182599136416676E-2"/>
        </c:manualLayout>
      </c:layout>
      <c:overlay val="0"/>
      <c:spPr>
        <a:solidFill>
          <a:srgbClr val="EEECE1">
            <a:alpha val="50196"/>
          </a:srgbClr>
        </a:solidFill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84736549773207"/>
          <c:y val="0.12506639144119477"/>
          <c:w val="0.76095129703686137"/>
          <c:h val="0.6893255360908902"/>
        </c:manualLayout>
      </c:layout>
      <c:scatterChart>
        <c:scatterStyle val="lineMarker"/>
        <c:varyColors val="0"/>
        <c:ser>
          <c:idx val="0"/>
          <c:order val="0"/>
          <c:tx>
            <c:strRef>
              <c:f>AWRⅡ010B!$D$22</c:f>
              <c:strCache>
                <c:ptCount val="1"/>
                <c:pt idx="0">
                  <c:v>ta:1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AWRⅡ010B!$C$23:$C$42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AWRⅡ010B!$D$23:$D$42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59.566194348184844</c:v>
                </c:pt>
                <c:pt idx="6">
                  <c:v>41.516300774655896</c:v>
                </c:pt>
                <c:pt idx="7">
                  <c:v>27.857505158105837</c:v>
                </c:pt>
                <c:pt idx="8">
                  <c:v>17.161208848376113</c:v>
                </c:pt>
                <c:pt idx="9">
                  <c:v>8.5578897945328993</c:v>
                </c:pt>
                <c:pt idx="10">
                  <c:v>1.4879847647395628</c:v>
                </c:pt>
                <c:pt idx="11">
                  <c:v>-4.4249233212698078</c:v>
                </c:pt>
                <c:pt idx="12">
                  <c:v>-9.4433680617089717</c:v>
                </c:pt>
                <c:pt idx="13">
                  <c:v>-13.756039809363568</c:v>
                </c:pt>
                <c:pt idx="14">
                  <c:v>-17.502042492677408</c:v>
                </c:pt>
                <c:pt idx="15">
                  <c:v>-20.786178131794703</c:v>
                </c:pt>
                <c:pt idx="16">
                  <c:v>-23.68890608870797</c:v>
                </c:pt>
                <c:pt idx="17">
                  <c:v>-26.273022855545371</c:v>
                </c:pt>
                <c:pt idx="18">
                  <c:v>-28.588256703757569</c:v>
                </c:pt>
                <c:pt idx="19">
                  <c:v>-30.674499012109031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B4-4150-A8DC-5801DDA12537}"/>
            </c:ext>
          </c:extLst>
        </c:ser>
        <c:ser>
          <c:idx val="1"/>
          <c:order val="1"/>
          <c:tx>
            <c:strRef>
              <c:f>AWRⅡ010B!$E$22</c:f>
              <c:strCache>
                <c:ptCount val="1"/>
                <c:pt idx="0">
                  <c:v>ta:2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AWRⅡ010B!$C$23:$C$42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AWRⅡ010B!$E$23:$E$42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69.813170079773187</c:v>
                </c:pt>
                <c:pt idx="7">
                  <c:v>55.715010316211675</c:v>
                </c:pt>
                <c:pt idx="8">
                  <c:v>34.322417696752225</c:v>
                </c:pt>
                <c:pt idx="9">
                  <c:v>17.115779589065799</c:v>
                </c:pt>
                <c:pt idx="10">
                  <c:v>2.9759695294791255</c:v>
                </c:pt>
                <c:pt idx="11">
                  <c:v>-8.8498466425396156</c:v>
                </c:pt>
                <c:pt idx="12">
                  <c:v>-18.886736123417943</c:v>
                </c:pt>
                <c:pt idx="13">
                  <c:v>-27.512079618727135</c:v>
                </c:pt>
                <c:pt idx="14">
                  <c:v>-35.004084985354815</c:v>
                </c:pt>
                <c:pt idx="15">
                  <c:v>-41.572356263589406</c:v>
                </c:pt>
                <c:pt idx="16">
                  <c:v>-47.37781217741594</c:v>
                </c:pt>
                <c:pt idx="17">
                  <c:v>-52.546045711090741</c:v>
                </c:pt>
                <c:pt idx="18">
                  <c:v>-57.176513407515138</c:v>
                </c:pt>
                <c:pt idx="19">
                  <c:v>-61.348998024218062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B4-4150-A8DC-5801DDA12537}"/>
            </c:ext>
          </c:extLst>
        </c:ser>
        <c:ser>
          <c:idx val="2"/>
          <c:order val="2"/>
          <c:tx>
            <c:strRef>
              <c:f>AWRⅡ010B!$F$22</c:f>
              <c:strCache>
                <c:ptCount val="1"/>
                <c:pt idx="0">
                  <c:v>ta:4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AWRⅡ010B!$C$23:$C$42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AWRⅡ010B!$F$23:$F$42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69.813170079773187</c:v>
                </c:pt>
                <c:pt idx="7">
                  <c:v>69.813170079773187</c:v>
                </c:pt>
                <c:pt idx="8">
                  <c:v>68.644835393504451</c:v>
                </c:pt>
                <c:pt idx="9">
                  <c:v>34.231559178131597</c:v>
                </c:pt>
                <c:pt idx="10">
                  <c:v>5.951939058958251</c:v>
                </c:pt>
                <c:pt idx="11">
                  <c:v>-17.699693285079231</c:v>
                </c:pt>
                <c:pt idx="12">
                  <c:v>-37.773472246835887</c:v>
                </c:pt>
                <c:pt idx="13">
                  <c:v>-55.024159237454271</c:v>
                </c:pt>
                <c:pt idx="14">
                  <c:v>-70.008169970709631</c:v>
                </c:pt>
                <c:pt idx="15">
                  <c:v>-83.144712527178811</c:v>
                </c:pt>
                <c:pt idx="16">
                  <c:v>-94.75562435483188</c:v>
                </c:pt>
                <c:pt idx="17">
                  <c:v>-105.09209142218148</c:v>
                </c:pt>
                <c:pt idx="18">
                  <c:v>-114.35302681503028</c:v>
                </c:pt>
                <c:pt idx="19">
                  <c:v>-122.69799604843612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B4-4150-A8DC-5801DDA12537}"/>
            </c:ext>
          </c:extLst>
        </c:ser>
        <c:ser>
          <c:idx val="3"/>
          <c:order val="3"/>
          <c:tx>
            <c:strRef>
              <c:f>AWRⅡ010B!$G$22</c:f>
              <c:strCache>
                <c:ptCount val="1"/>
                <c:pt idx="0">
                  <c:v>ta:8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AWRⅡ010B!$C$23:$C$42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AWRⅡ010B!$G$23:$G$42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69.813170079773187</c:v>
                </c:pt>
                <c:pt idx="7">
                  <c:v>69.813170079773187</c:v>
                </c:pt>
                <c:pt idx="8">
                  <c:v>69.813170079773187</c:v>
                </c:pt>
                <c:pt idx="9">
                  <c:v>68.463118356263195</c:v>
                </c:pt>
                <c:pt idx="10">
                  <c:v>11.903878117916502</c:v>
                </c:pt>
                <c:pt idx="11">
                  <c:v>-35.399386570158462</c:v>
                </c:pt>
                <c:pt idx="12">
                  <c:v>-75.546944493671774</c:v>
                </c:pt>
                <c:pt idx="13">
                  <c:v>-110.04831847490854</c:v>
                </c:pt>
                <c:pt idx="14">
                  <c:v>-140.01633994141926</c:v>
                </c:pt>
                <c:pt idx="15">
                  <c:v>-166.28942505435762</c:v>
                </c:pt>
                <c:pt idx="16">
                  <c:v>-189.51124870966376</c:v>
                </c:pt>
                <c:pt idx="17">
                  <c:v>-210.18418284436297</c:v>
                </c:pt>
                <c:pt idx="18">
                  <c:v>-228.70605363006055</c:v>
                </c:pt>
                <c:pt idx="19">
                  <c:v>-245.39599209687225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8B-42DC-9852-B0E4D018B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63872"/>
        <c:axId val="108865792"/>
      </c:scatterChart>
      <c:valAx>
        <c:axId val="108863872"/>
        <c:scaling>
          <c:orientation val="minMax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総重量 </a:t>
                </a:r>
                <a:r>
                  <a:rPr lang="en-US" altLang="ja-JP"/>
                  <a:t>kg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865792"/>
        <c:crosses val="autoZero"/>
        <c:crossBetween val="midCat"/>
      </c:valAx>
      <c:valAx>
        <c:axId val="10886579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走行速度 </a:t>
                </a:r>
                <a:r>
                  <a:rPr lang="en-US" altLang="ja-JP"/>
                  <a:t>m</a:t>
                </a:r>
                <a:r>
                  <a:rPr lang="ja-JP" altLang="en-US"/>
                  <a:t>／</a:t>
                </a:r>
                <a:r>
                  <a:rPr lang="en-US" altLang="ja-JP"/>
                  <a:t>min</a:t>
                </a:r>
                <a:endParaRPr lang="ja-JP" altLang="en-US"/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08863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351203703703705"/>
          <c:y val="4.8546000080542731E-2"/>
          <c:w val="0.75447438271604939"/>
          <c:h val="6.5118345778995237E-2"/>
        </c:manualLayout>
      </c:layout>
      <c:overlay val="0"/>
      <c:spPr>
        <a:solidFill>
          <a:srgbClr val="EEECE1">
            <a:alpha val="50196"/>
          </a:srgbClr>
        </a:solidFill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84736549773207"/>
          <c:y val="0.12506639144119477"/>
          <c:w val="0.76095129703686137"/>
          <c:h val="0.68932553609089009"/>
        </c:manualLayout>
      </c:layout>
      <c:scatterChart>
        <c:scatterStyle val="lineMarker"/>
        <c:varyColors val="0"/>
        <c:ser>
          <c:idx val="0"/>
          <c:order val="0"/>
          <c:tx>
            <c:strRef>
              <c:f>AWRⅡ010B!$L$22</c:f>
              <c:strCache>
                <c:ptCount val="1"/>
                <c:pt idx="0">
                  <c:v>θ:2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AWRⅡ010B!$K$23:$K$42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AWRⅡ010B!$L$23:$L$42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59.566194348184844</c:v>
                </c:pt>
                <c:pt idx="6">
                  <c:v>41.516300774655896</c:v>
                </c:pt>
                <c:pt idx="7">
                  <c:v>27.857505158105837</c:v>
                </c:pt>
                <c:pt idx="8">
                  <c:v>17.161208848376113</c:v>
                </c:pt>
                <c:pt idx="9">
                  <c:v>8.5578897945328993</c:v>
                </c:pt>
                <c:pt idx="10">
                  <c:v>1.4879847647395628</c:v>
                </c:pt>
                <c:pt idx="11">
                  <c:v>-4.4249233212698078</c:v>
                </c:pt>
                <c:pt idx="12">
                  <c:v>-9.4433680617089717</c:v>
                </c:pt>
                <c:pt idx="13">
                  <c:v>-13.756039809363568</c:v>
                </c:pt>
                <c:pt idx="14">
                  <c:v>-17.502042492677408</c:v>
                </c:pt>
                <c:pt idx="15">
                  <c:v>-20.786178131794703</c:v>
                </c:pt>
                <c:pt idx="16">
                  <c:v>-23.68890608870797</c:v>
                </c:pt>
                <c:pt idx="17">
                  <c:v>-26.273022855545371</c:v>
                </c:pt>
                <c:pt idx="18">
                  <c:v>-28.588256703757569</c:v>
                </c:pt>
                <c:pt idx="19">
                  <c:v>-30.674499012109031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9B-4977-B573-39864F5AE7B4}"/>
            </c:ext>
          </c:extLst>
        </c:ser>
        <c:ser>
          <c:idx val="1"/>
          <c:order val="1"/>
          <c:tx>
            <c:strRef>
              <c:f>AWRⅡ010B!$M$22</c:f>
              <c:strCache>
                <c:ptCount val="1"/>
                <c:pt idx="0">
                  <c:v>θ:1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AWRⅡ010B!$K$23:$K$42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AWRⅡ010B!$M$23:$M$42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59.950826265851362</c:v>
                </c:pt>
                <c:pt idx="7">
                  <c:v>46.362866004084268</c:v>
                </c:pt>
                <c:pt idx="8">
                  <c:v>35.722041345386884</c:v>
                </c:pt>
                <c:pt idx="9">
                  <c:v>27.163339633701721</c:v>
                </c:pt>
                <c:pt idx="10">
                  <c:v>20.130099566554147</c:v>
                </c:pt>
                <c:pt idx="11">
                  <c:v>14.24785618582553</c:v>
                </c:pt>
                <c:pt idx="12">
                  <c:v>9.2554374087016775</c:v>
                </c:pt>
                <c:pt idx="13">
                  <c:v>4.9651314421806214</c:v>
                </c:pt>
                <c:pt idx="14">
                  <c:v>1.2385557593535041</c:v>
                </c:pt>
                <c:pt idx="15">
                  <c:v>-2.0285481501967895</c:v>
                </c:pt>
                <c:pt idx="16">
                  <c:v>-4.9162223812590389</c:v>
                </c:pt>
                <c:pt idx="17">
                  <c:v>-7.4869377594881046</c:v>
                </c:pt>
                <c:pt idx="18">
                  <c:v>-9.7901646624580039</c:v>
                </c:pt>
                <c:pt idx="19">
                  <c:v>-11.865587589787562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9B-4977-B573-39864F5AE7B4}"/>
            </c:ext>
          </c:extLst>
        </c:ser>
        <c:ser>
          <c:idx val="2"/>
          <c:order val="2"/>
          <c:tx>
            <c:strRef>
              <c:f>AWRⅡ010B!$N$22</c:f>
              <c:strCache>
                <c:ptCount val="1"/>
                <c:pt idx="0">
                  <c:v>θ:0.5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AWRⅡ010B!$K$23:$K$42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AWRⅡ010B!$N$23:$N$42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69.174171320294519</c:v>
                </c:pt>
                <c:pt idx="7">
                  <c:v>55.621652107418505</c:v>
                </c:pt>
                <c:pt idx="8">
                  <c:v>45.008581576618546</c:v>
                </c:pt>
                <c:pt idx="9">
                  <c:v>36.472203257110287</c:v>
                </c:pt>
                <c:pt idx="10">
                  <c:v>29.457307768566181</c:v>
                </c:pt>
                <c:pt idx="11">
                  <c:v>23.590406858026558</c:v>
                </c:pt>
                <c:pt idx="12">
                  <c:v>18.611009649597062</c:v>
                </c:pt>
                <c:pt idx="13">
                  <c:v>14.331893953034701</c:v>
                </c:pt>
                <c:pt idx="14">
                  <c:v>10.615038180218134</c:v>
                </c:pt>
                <c:pt idx="15">
                  <c:v>7.3564557549200797</c:v>
                </c:pt>
                <c:pt idx="16">
                  <c:v>4.4763133536271873</c:v>
                </c:pt>
                <c:pt idx="17">
                  <c:v>1.9123030913720991</c:v>
                </c:pt>
                <c:pt idx="18">
                  <c:v>-0.3849163773911301</c:v>
                </c:pt>
                <c:pt idx="19">
                  <c:v>-2.4549260444505796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9B-4977-B573-39864F5AE7B4}"/>
            </c:ext>
          </c:extLst>
        </c:ser>
        <c:ser>
          <c:idx val="3"/>
          <c:order val="3"/>
          <c:tx>
            <c:strRef>
              <c:f>AWRⅡ010B!$O$22</c:f>
              <c:strCache>
                <c:ptCount val="1"/>
                <c:pt idx="0">
                  <c:v>θ:0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AWRⅡ010B!$K$23:$K$42</c:f>
              <c:numCache>
                <c:formatCode>General</c:formatCode>
                <c:ptCount val="20"/>
                <c:pt idx="0">
                  <c:v>79.999999999999986</c:v>
                </c:pt>
                <c:pt idx="1">
                  <c:v>159.99999999999997</c:v>
                </c:pt>
                <c:pt idx="2">
                  <c:v>239.99999999999994</c:v>
                </c:pt>
                <c:pt idx="3">
                  <c:v>319.99999999999994</c:v>
                </c:pt>
                <c:pt idx="4">
                  <c:v>399.99999999999994</c:v>
                </c:pt>
                <c:pt idx="5">
                  <c:v>479.99999999999989</c:v>
                </c:pt>
                <c:pt idx="6">
                  <c:v>559.99999999999989</c:v>
                </c:pt>
                <c:pt idx="7">
                  <c:v>639.99999999999989</c:v>
                </c:pt>
                <c:pt idx="8">
                  <c:v>719.99999999999989</c:v>
                </c:pt>
                <c:pt idx="9">
                  <c:v>799.99999999999989</c:v>
                </c:pt>
                <c:pt idx="10">
                  <c:v>879.99999999999977</c:v>
                </c:pt>
                <c:pt idx="11">
                  <c:v>959.99999999999977</c:v>
                </c:pt>
                <c:pt idx="12">
                  <c:v>1039.9999999999998</c:v>
                </c:pt>
                <c:pt idx="13">
                  <c:v>1119.9999999999998</c:v>
                </c:pt>
                <c:pt idx="14">
                  <c:v>1199.9999999999998</c:v>
                </c:pt>
                <c:pt idx="15">
                  <c:v>1279.9999999999998</c:v>
                </c:pt>
                <c:pt idx="16">
                  <c:v>1359.9999999999998</c:v>
                </c:pt>
                <c:pt idx="17">
                  <c:v>1439.9999999999998</c:v>
                </c:pt>
                <c:pt idx="18">
                  <c:v>1519.9999999999998</c:v>
                </c:pt>
                <c:pt idx="19">
                  <c:v>1599.9999999999998</c:v>
                </c:pt>
              </c:numCache>
            </c:numRef>
          </c:xVal>
          <c:yVal>
            <c:numRef>
              <c:f>AWRⅡ010B!$O$23:$O$42</c:f>
              <c:numCache>
                <c:formatCode>0.0_ </c:formatCode>
                <c:ptCount val="20"/>
                <c:pt idx="0">
                  <c:v>69.813170079773187</c:v>
                </c:pt>
                <c:pt idx="1">
                  <c:v>69.813170079773187</c:v>
                </c:pt>
                <c:pt idx="2">
                  <c:v>69.813170079773187</c:v>
                </c:pt>
                <c:pt idx="3">
                  <c:v>69.813170079773187</c:v>
                </c:pt>
                <c:pt idx="4">
                  <c:v>69.813170079773187</c:v>
                </c:pt>
                <c:pt idx="5">
                  <c:v>69.813170079773187</c:v>
                </c:pt>
                <c:pt idx="6">
                  <c:v>69.813170079773187</c:v>
                </c:pt>
                <c:pt idx="7">
                  <c:v>64.883568638467821</c:v>
                </c:pt>
                <c:pt idx="8">
                  <c:v>54.298261619332251</c:v>
                </c:pt>
                <c:pt idx="9">
                  <c:v>45.784214239617299</c:v>
                </c:pt>
                <c:pt idx="10">
                  <c:v>38.787669532042315</c:v>
                </c:pt>
                <c:pt idx="11">
                  <c:v>32.936116279034124</c:v>
                </c:pt>
                <c:pt idx="12">
                  <c:v>27.969745041936552</c:v>
                </c:pt>
                <c:pt idx="13">
                  <c:v>23.701823398802002</c:v>
                </c:pt>
                <c:pt idx="14">
                  <c:v>19.994690822331282</c:v>
                </c:pt>
                <c:pt idx="15">
                  <c:v>16.744632762428857</c:v>
                </c:pt>
                <c:pt idx="16">
                  <c:v>13.87202473744313</c:v>
                </c:pt>
                <c:pt idx="17">
                  <c:v>11.314721858184987</c:v>
                </c:pt>
                <c:pt idx="18">
                  <c:v>9.0235118547627806</c:v>
                </c:pt>
                <c:pt idx="19">
                  <c:v>6.9589172782155542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E0-4DDC-8F98-E4D7C0947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08544"/>
        <c:axId val="108910464"/>
      </c:scatterChart>
      <c:valAx>
        <c:axId val="108908544"/>
        <c:scaling>
          <c:orientation val="minMax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総重量 </a:t>
                </a:r>
                <a:r>
                  <a:rPr lang="en-US" altLang="ja-JP"/>
                  <a:t>kg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910464"/>
        <c:crosses val="autoZero"/>
        <c:crossBetween val="midCat"/>
      </c:valAx>
      <c:valAx>
        <c:axId val="10891046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走行速度 </a:t>
                </a:r>
                <a:r>
                  <a:rPr lang="en-US" altLang="ja-JP"/>
                  <a:t>m</a:t>
                </a:r>
                <a:r>
                  <a:rPr lang="ja-JP" altLang="en-US"/>
                  <a:t>／</a:t>
                </a:r>
                <a:r>
                  <a:rPr lang="en-US" altLang="ja-JP"/>
                  <a:t>min</a:t>
                </a:r>
                <a:endParaRPr lang="ja-JP" altLang="en-US"/>
              </a:p>
            </c:rich>
          </c:tx>
          <c:overlay val="0"/>
        </c:title>
        <c:numFmt formatCode="0.0_ " sourceLinked="1"/>
        <c:majorTickMark val="out"/>
        <c:minorTickMark val="none"/>
        <c:tickLblPos val="nextTo"/>
        <c:crossAx val="108908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339604774988746"/>
          <c:y val="4.8535194986230268E-2"/>
          <c:w val="0.7572803054999302"/>
          <c:h val="6.4182599136416676E-2"/>
        </c:manualLayout>
      </c:layout>
      <c:overlay val="0"/>
      <c:spPr>
        <a:solidFill>
          <a:srgbClr val="EEECE1">
            <a:alpha val="50196"/>
          </a:srgbClr>
        </a:solidFill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154782</xdr:colOff>
      <xdr:row>38</xdr:row>
      <xdr:rowOff>130969</xdr:rowOff>
    </xdr:from>
    <xdr:to>
      <xdr:col>14</xdr:col>
      <xdr:colOff>547689</xdr:colOff>
      <xdr:row>45</xdr:row>
      <xdr:rowOff>35718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2ED5ED75-EE00-4484-925E-4AD3CC8B25E6}"/>
            </a:ext>
          </a:extLst>
        </xdr:cNvPr>
        <xdr:cNvSpPr/>
      </xdr:nvSpPr>
      <xdr:spPr>
        <a:xfrm>
          <a:off x="9453563" y="8001000"/>
          <a:ext cx="392907" cy="1178718"/>
        </a:xfrm>
        <a:prstGeom prst="righ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36452</xdr:colOff>
      <xdr:row>23</xdr:row>
      <xdr:rowOff>7941</xdr:rowOff>
    </xdr:from>
    <xdr:to>
      <xdr:col>17</xdr:col>
      <xdr:colOff>531054</xdr:colOff>
      <xdr:row>33</xdr:row>
      <xdr:rowOff>122749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A4E7350-718B-4038-95F1-B144CA836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42337</xdr:colOff>
      <xdr:row>13</xdr:row>
      <xdr:rowOff>37040</xdr:rowOff>
    </xdr:from>
    <xdr:to>
      <xdr:col>9</xdr:col>
      <xdr:colOff>618337</xdr:colOff>
      <xdr:row>33</xdr:row>
      <xdr:rowOff>122748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4B6B363-2D3D-41F4-B61E-84FECF75F3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36451</xdr:colOff>
      <xdr:row>10</xdr:row>
      <xdr:rowOff>4294</xdr:rowOff>
    </xdr:from>
    <xdr:to>
      <xdr:col>17</xdr:col>
      <xdr:colOff>531053</xdr:colOff>
      <xdr:row>20</xdr:row>
      <xdr:rowOff>119102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118FD3B-75F2-4EFE-AD02-B323FC41CC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1</xdr:row>
      <xdr:rowOff>0</xdr:rowOff>
    </xdr:from>
    <xdr:to>
      <xdr:col>9</xdr:col>
      <xdr:colOff>553950</xdr:colOff>
      <xdr:row>13</xdr:row>
      <xdr:rowOff>124032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654844</xdr:colOff>
      <xdr:row>1</xdr:row>
      <xdr:rowOff>-1</xdr:rowOff>
    </xdr:from>
    <xdr:to>
      <xdr:col>14</xdr:col>
      <xdr:colOff>465844</xdr:colOff>
      <xdr:row>13</xdr:row>
      <xdr:rowOff>124031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CAB47D-8EAF-4A86-B766-5091AFA6E1AF}" name="テーブル1" displayName="テーブル1" ref="A1:B8" totalsRowShown="0" headerRowDxfId="0">
  <autoFilter ref="A1:B8" xr:uid="{A3B11D47-4E8D-4E93-B248-F64503B14DD1}"/>
  <tableColumns count="2">
    <tableColumn id="1" xr3:uid="{B528EDEB-F911-4F2B-A261-B88A42A62DF8}" name="車輪型式"/>
    <tableColumn id="2" xr3:uid="{C41E077E-D849-412F-923E-D071E743F1AE}" name="列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293B1-A7D2-4E05-8A56-C95A3E1A18F5}">
  <sheetPr codeName="Sheet1"/>
  <dimension ref="A1:B8"/>
  <sheetViews>
    <sheetView workbookViewId="0">
      <selection activeCell="B3" sqref="B3"/>
    </sheetView>
  </sheetViews>
  <sheetFormatPr defaultRowHeight="13.5" x14ac:dyDescent="0.15"/>
  <cols>
    <col min="1" max="1" width="13.875" bestFit="1" customWidth="1"/>
  </cols>
  <sheetData>
    <row r="1" spans="1:2" s="22" customFormat="1" x14ac:dyDescent="0.15">
      <c r="A1" s="132" t="s">
        <v>106</v>
      </c>
      <c r="B1" s="132" t="s">
        <v>108</v>
      </c>
    </row>
    <row r="2" spans="1:2" x14ac:dyDescent="0.15">
      <c r="A2" s="132" t="s">
        <v>83</v>
      </c>
      <c r="B2">
        <v>4</v>
      </c>
    </row>
    <row r="3" spans="1:2" x14ac:dyDescent="0.15">
      <c r="A3" s="22" t="s">
        <v>75</v>
      </c>
      <c r="B3">
        <f>B2+2</f>
        <v>6</v>
      </c>
    </row>
    <row r="4" spans="1:2" x14ac:dyDescent="0.15">
      <c r="A4" s="22" t="s">
        <v>76</v>
      </c>
      <c r="B4">
        <f t="shared" ref="B4:B8" si="0">B3+2</f>
        <v>8</v>
      </c>
    </row>
    <row r="5" spans="1:2" x14ac:dyDescent="0.15">
      <c r="A5" s="22" t="s">
        <v>41</v>
      </c>
      <c r="B5">
        <f t="shared" si="0"/>
        <v>10</v>
      </c>
    </row>
    <row r="6" spans="1:2" x14ac:dyDescent="0.15">
      <c r="A6" s="132" t="s">
        <v>74</v>
      </c>
      <c r="B6">
        <f t="shared" si="0"/>
        <v>12</v>
      </c>
    </row>
    <row r="7" spans="1:2" x14ac:dyDescent="0.15">
      <c r="A7" s="22" t="s">
        <v>73</v>
      </c>
      <c r="B7">
        <f t="shared" si="0"/>
        <v>14</v>
      </c>
    </row>
    <row r="8" spans="1:2" x14ac:dyDescent="0.15">
      <c r="A8" s="22" t="s">
        <v>72</v>
      </c>
      <c r="B8">
        <f t="shared" si="0"/>
        <v>16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T114"/>
  <sheetViews>
    <sheetView topLeftCell="A60" zoomScale="80" zoomScaleNormal="80" workbookViewId="0">
      <selection activeCell="S97" sqref="S97"/>
    </sheetView>
  </sheetViews>
  <sheetFormatPr defaultRowHeight="13.5" x14ac:dyDescent="0.15"/>
  <cols>
    <col min="4" max="4" width="12.75" bestFit="1" customWidth="1"/>
    <col min="7" max="7" width="9" customWidth="1"/>
    <col min="11" max="11" width="9.5" bestFit="1" customWidth="1"/>
  </cols>
  <sheetData>
    <row r="1" spans="2:14" x14ac:dyDescent="0.15">
      <c r="B1" s="4" t="s">
        <v>4</v>
      </c>
      <c r="C1" s="4"/>
    </row>
    <row r="2" spans="2:14" x14ac:dyDescent="0.15">
      <c r="B2" s="4"/>
      <c r="C2" s="4"/>
    </row>
    <row r="3" spans="2:14" x14ac:dyDescent="0.15">
      <c r="B3" s="6" t="s">
        <v>11</v>
      </c>
      <c r="C3" s="6"/>
      <c r="I3" s="4" t="s">
        <v>45</v>
      </c>
      <c r="J3" s="4"/>
    </row>
    <row r="4" spans="2:14" x14ac:dyDescent="0.15">
      <c r="B4" s="5" t="s">
        <v>12</v>
      </c>
      <c r="C4" s="5"/>
      <c r="I4" s="6" t="s">
        <v>46</v>
      </c>
      <c r="J4" s="6"/>
    </row>
    <row r="5" spans="2:14" ht="14.25" thickBot="1" x14ac:dyDescent="0.2">
      <c r="B5" s="4"/>
      <c r="C5" t="s">
        <v>5</v>
      </c>
      <c r="I5" s="6" t="s">
        <v>47</v>
      </c>
      <c r="J5" s="6"/>
    </row>
    <row r="6" spans="2:14" x14ac:dyDescent="0.15">
      <c r="B6" s="4"/>
      <c r="C6" t="s">
        <v>13</v>
      </c>
      <c r="J6" s="95" t="s">
        <v>6</v>
      </c>
      <c r="K6" s="100"/>
      <c r="L6" s="96"/>
      <c r="M6" s="7" t="s">
        <v>0</v>
      </c>
      <c r="N6" s="2">
        <v>1000</v>
      </c>
    </row>
    <row r="7" spans="2:14" x14ac:dyDescent="0.15">
      <c r="B7" s="4"/>
      <c r="C7" t="s">
        <v>14</v>
      </c>
      <c r="J7" s="93" t="s">
        <v>10</v>
      </c>
      <c r="K7" s="101"/>
      <c r="L7" s="94"/>
      <c r="M7" s="8" t="s">
        <v>30</v>
      </c>
      <c r="N7" s="3">
        <v>2</v>
      </c>
    </row>
    <row r="8" spans="2:14" x14ac:dyDescent="0.15">
      <c r="B8" s="4"/>
      <c r="C8" t="s">
        <v>15</v>
      </c>
      <c r="J8" s="93" t="s">
        <v>5</v>
      </c>
      <c r="K8" s="101"/>
      <c r="L8" s="94"/>
      <c r="M8" s="8" t="s">
        <v>30</v>
      </c>
      <c r="N8" s="3">
        <v>0.03</v>
      </c>
    </row>
    <row r="9" spans="2:14" x14ac:dyDescent="0.15">
      <c r="B9" s="5" t="s">
        <v>3</v>
      </c>
      <c r="C9" t="s">
        <v>16</v>
      </c>
      <c r="J9" s="93" t="s">
        <v>7</v>
      </c>
      <c r="K9" s="101"/>
      <c r="L9" s="94"/>
      <c r="M9" s="8" t="s">
        <v>30</v>
      </c>
      <c r="N9" s="3">
        <v>2</v>
      </c>
    </row>
    <row r="10" spans="2:14" x14ac:dyDescent="0.15">
      <c r="B10" s="4"/>
      <c r="C10" t="s">
        <v>17</v>
      </c>
      <c r="J10" s="93" t="s">
        <v>8</v>
      </c>
      <c r="K10" s="101"/>
      <c r="L10" s="94"/>
      <c r="M10" s="8" t="s">
        <v>1</v>
      </c>
      <c r="N10" s="3">
        <v>0.15</v>
      </c>
    </row>
    <row r="11" spans="2:14" x14ac:dyDescent="0.15">
      <c r="B11" s="4"/>
      <c r="C11" t="s">
        <v>18</v>
      </c>
      <c r="J11" s="93" t="s">
        <v>9</v>
      </c>
      <c r="K11" s="101"/>
      <c r="L11" s="94"/>
      <c r="M11" s="10" t="s">
        <v>29</v>
      </c>
      <c r="N11" s="11">
        <v>0</v>
      </c>
    </row>
    <row r="12" spans="2:14" x14ac:dyDescent="0.15">
      <c r="B12" s="4"/>
      <c r="C12" s="4"/>
      <c r="J12" s="91"/>
      <c r="K12" s="102"/>
      <c r="L12" s="92"/>
      <c r="M12" s="9"/>
      <c r="N12" s="1"/>
    </row>
    <row r="13" spans="2:14" ht="14.25" thickBot="1" x14ac:dyDescent="0.2">
      <c r="B13" s="5" t="s">
        <v>19</v>
      </c>
      <c r="C13" s="5"/>
      <c r="J13" s="99" t="s">
        <v>31</v>
      </c>
      <c r="K13" s="103"/>
      <c r="L13" s="71"/>
      <c r="M13" s="72" t="s">
        <v>2</v>
      </c>
      <c r="N13" s="73">
        <f>9.8*((N6*N8*COS(RADIANS(N11))+N6*SIN(RADIANS(N11)))*N9*N10)/(2*N7)</f>
        <v>22.05</v>
      </c>
    </row>
    <row r="14" spans="2:14" x14ac:dyDescent="0.15">
      <c r="B14" s="5" t="s">
        <v>20</v>
      </c>
      <c r="C14" s="5"/>
    </row>
    <row r="15" spans="2:14" x14ac:dyDescent="0.15">
      <c r="B15" s="4"/>
      <c r="C15" s="4"/>
      <c r="D15" t="s">
        <v>21</v>
      </c>
    </row>
    <row r="16" spans="2:14" x14ac:dyDescent="0.15">
      <c r="B16" s="5" t="s">
        <v>22</v>
      </c>
      <c r="C16" s="5"/>
    </row>
    <row r="17" spans="2:10" x14ac:dyDescent="0.15">
      <c r="B17" s="4"/>
      <c r="C17" s="4"/>
      <c r="D17" t="s">
        <v>23</v>
      </c>
    </row>
    <row r="18" spans="2:10" x14ac:dyDescent="0.15">
      <c r="B18" s="4"/>
      <c r="C18" s="4"/>
    </row>
    <row r="19" spans="2:10" x14ac:dyDescent="0.15">
      <c r="B19" s="6" t="s">
        <v>24</v>
      </c>
      <c r="C19" s="6"/>
    </row>
    <row r="20" spans="2:10" x14ac:dyDescent="0.15">
      <c r="B20" s="5" t="s">
        <v>25</v>
      </c>
      <c r="C20" s="5"/>
    </row>
    <row r="21" spans="2:10" x14ac:dyDescent="0.15">
      <c r="B21" s="4"/>
      <c r="C21" t="s">
        <v>26</v>
      </c>
    </row>
    <row r="22" spans="2:10" x14ac:dyDescent="0.15">
      <c r="B22" s="4"/>
      <c r="C22" s="4"/>
    </row>
    <row r="23" spans="2:10" x14ac:dyDescent="0.15">
      <c r="B23" s="5" t="s">
        <v>19</v>
      </c>
      <c r="C23" s="5"/>
    </row>
    <row r="24" spans="2:10" x14ac:dyDescent="0.15">
      <c r="B24" s="5" t="s">
        <v>27</v>
      </c>
      <c r="C24" s="5"/>
    </row>
    <row r="25" spans="2:10" x14ac:dyDescent="0.15">
      <c r="B25" s="4"/>
      <c r="C25" s="4"/>
      <c r="D25" t="s">
        <v>28</v>
      </c>
    </row>
    <row r="26" spans="2:10" x14ac:dyDescent="0.15">
      <c r="B26" s="5" t="s">
        <v>22</v>
      </c>
      <c r="C26" s="5"/>
    </row>
    <row r="27" spans="2:10" x14ac:dyDescent="0.15">
      <c r="B27" s="4"/>
      <c r="C27" s="4"/>
      <c r="D27" t="s">
        <v>23</v>
      </c>
    </row>
    <row r="28" spans="2:10" x14ac:dyDescent="0.15">
      <c r="B28" s="4"/>
      <c r="C28" s="4"/>
    </row>
    <row r="29" spans="2:10" x14ac:dyDescent="0.15">
      <c r="J29" s="133"/>
    </row>
    <row r="31" spans="2:10" x14ac:dyDescent="0.15">
      <c r="D31" s="68"/>
      <c r="E31" s="68"/>
      <c r="F31" s="69"/>
      <c r="G31" s="70"/>
      <c r="H31" s="21"/>
      <c r="I31" s="70"/>
    </row>
    <row r="32" spans="2:10" ht="14.25" thickBot="1" x14ac:dyDescent="0.2">
      <c r="D32" s="68"/>
      <c r="E32" s="68"/>
      <c r="F32" s="69"/>
      <c r="G32" s="70"/>
      <c r="H32" s="21"/>
      <c r="I32" s="70"/>
    </row>
    <row r="33" spans="2:20" ht="14.25" thickBot="1" x14ac:dyDescent="0.2">
      <c r="B33" s="6" t="s">
        <v>32</v>
      </c>
      <c r="C33" s="6"/>
      <c r="I33" s="37" t="s">
        <v>48</v>
      </c>
      <c r="J33" s="209" t="s">
        <v>107</v>
      </c>
      <c r="K33" s="210"/>
      <c r="L33" s="22"/>
      <c r="P33" s="37" t="s">
        <v>96</v>
      </c>
    </row>
    <row r="34" spans="2:20" ht="14.25" thickBot="1" x14ac:dyDescent="0.2">
      <c r="B34" s="5" t="s">
        <v>12</v>
      </c>
      <c r="C34" s="5"/>
      <c r="J34" s="38" t="s">
        <v>105</v>
      </c>
      <c r="P34" s="6" t="s">
        <v>99</v>
      </c>
    </row>
    <row r="35" spans="2:20" x14ac:dyDescent="0.15">
      <c r="B35" s="4"/>
      <c r="C35" t="s">
        <v>53</v>
      </c>
      <c r="I35" s="20"/>
      <c r="J35" s="63" t="s">
        <v>42</v>
      </c>
      <c r="K35" s="64"/>
      <c r="L35" s="64"/>
      <c r="M35" s="104" t="s">
        <v>85</v>
      </c>
      <c r="N35" s="65">
        <f>N6</f>
        <v>1000</v>
      </c>
      <c r="P35" s="63" t="s">
        <v>42</v>
      </c>
      <c r="Q35" s="64"/>
      <c r="R35" s="64"/>
      <c r="S35" s="104" t="s">
        <v>85</v>
      </c>
      <c r="T35" s="65">
        <f t="shared" ref="T35:T42" si="0">N35</f>
        <v>1000</v>
      </c>
    </row>
    <row r="36" spans="2:20" x14ac:dyDescent="0.15">
      <c r="B36" s="4"/>
      <c r="C36" t="s">
        <v>55</v>
      </c>
      <c r="I36" s="20"/>
      <c r="J36" s="66" t="s">
        <v>34</v>
      </c>
      <c r="K36" s="29"/>
      <c r="L36" s="29"/>
      <c r="M36" s="105" t="s">
        <v>86</v>
      </c>
      <c r="N36" s="30">
        <f>N10</f>
        <v>0.15</v>
      </c>
      <c r="P36" s="66" t="s">
        <v>34</v>
      </c>
      <c r="Q36" s="29"/>
      <c r="R36" s="29"/>
      <c r="S36" s="105" t="s">
        <v>86</v>
      </c>
      <c r="T36" s="30">
        <f t="shared" si="0"/>
        <v>0.15</v>
      </c>
    </row>
    <row r="37" spans="2:20" x14ac:dyDescent="0.15">
      <c r="C37" t="s">
        <v>56</v>
      </c>
      <c r="J37" s="97" t="s">
        <v>10</v>
      </c>
      <c r="K37" s="98"/>
      <c r="L37" s="98"/>
      <c r="M37" s="105"/>
      <c r="N37" s="30">
        <f>N7</f>
        <v>2</v>
      </c>
      <c r="P37" s="97" t="s">
        <v>10</v>
      </c>
      <c r="Q37" s="98"/>
      <c r="R37" s="98"/>
      <c r="S37" s="105"/>
      <c r="T37" s="30">
        <f t="shared" si="0"/>
        <v>2</v>
      </c>
    </row>
    <row r="38" spans="2:20" x14ac:dyDescent="0.15">
      <c r="C38" t="s">
        <v>57</v>
      </c>
      <c r="J38" s="97" t="s">
        <v>33</v>
      </c>
      <c r="K38" s="98"/>
      <c r="L38" s="98"/>
      <c r="M38" s="105"/>
      <c r="N38" s="30">
        <f>HLOOKUP($J$33,$D$58:$Q$66,3)</f>
        <v>16.600000000000001</v>
      </c>
      <c r="P38" s="97" t="s">
        <v>33</v>
      </c>
      <c r="Q38" s="98"/>
      <c r="R38" s="98"/>
      <c r="S38" s="105"/>
      <c r="T38" s="30">
        <f t="shared" si="0"/>
        <v>16.600000000000001</v>
      </c>
    </row>
    <row r="39" spans="2:20" ht="15.75" x14ac:dyDescent="0.15">
      <c r="C39" t="s">
        <v>58</v>
      </c>
      <c r="J39" s="97" t="s">
        <v>54</v>
      </c>
      <c r="K39" s="98"/>
      <c r="L39" s="98"/>
      <c r="M39" s="105" t="s">
        <v>87</v>
      </c>
      <c r="N39" s="30">
        <f>HLOOKUP($J$33,$D$58:$Q$66,2)</f>
        <v>2200</v>
      </c>
      <c r="P39" s="97" t="s">
        <v>54</v>
      </c>
      <c r="Q39" s="98"/>
      <c r="R39" s="98"/>
      <c r="S39" s="105" t="s">
        <v>87</v>
      </c>
      <c r="T39" s="30">
        <f t="shared" si="0"/>
        <v>2200</v>
      </c>
    </row>
    <row r="40" spans="2:20" x14ac:dyDescent="0.15">
      <c r="C40" t="s">
        <v>61</v>
      </c>
      <c r="J40" s="66" t="s">
        <v>49</v>
      </c>
      <c r="K40" s="29"/>
      <c r="L40" s="29"/>
      <c r="M40" s="105" t="s">
        <v>88</v>
      </c>
      <c r="N40" s="30">
        <f>HLOOKUP($J$33,$D$58:$Q$66,4)</f>
        <v>2.36</v>
      </c>
      <c r="P40" s="66" t="s">
        <v>49</v>
      </c>
      <c r="Q40" s="29"/>
      <c r="R40" s="29"/>
      <c r="S40" s="105" t="s">
        <v>88</v>
      </c>
      <c r="T40" s="30">
        <f t="shared" si="0"/>
        <v>2.36</v>
      </c>
    </row>
    <row r="41" spans="2:20" x14ac:dyDescent="0.15">
      <c r="C41" t="s">
        <v>62</v>
      </c>
      <c r="J41" s="39" t="s">
        <v>50</v>
      </c>
      <c r="K41" s="29"/>
      <c r="L41" s="29"/>
      <c r="M41" s="105" t="s">
        <v>88</v>
      </c>
      <c r="N41" s="30">
        <f>N13</f>
        <v>22.05</v>
      </c>
      <c r="P41" s="39" t="s">
        <v>50</v>
      </c>
      <c r="Q41" s="29"/>
      <c r="R41" s="29"/>
      <c r="S41" s="105" t="s">
        <v>88</v>
      </c>
      <c r="T41" s="30">
        <f t="shared" si="0"/>
        <v>22.05</v>
      </c>
    </row>
    <row r="42" spans="2:20" x14ac:dyDescent="0.15">
      <c r="C42" t="s">
        <v>65</v>
      </c>
      <c r="J42" s="39" t="s">
        <v>52</v>
      </c>
      <c r="K42" s="29"/>
      <c r="L42" s="29"/>
      <c r="M42" s="105"/>
      <c r="N42" s="30">
        <f>HLOOKUP($J$33,$D$58:$Q$66,6)</f>
        <v>0.8</v>
      </c>
      <c r="P42" s="39" t="s">
        <v>52</v>
      </c>
      <c r="Q42" s="29"/>
      <c r="R42" s="29"/>
      <c r="S42" s="105"/>
      <c r="T42" s="30">
        <f t="shared" si="0"/>
        <v>0.8</v>
      </c>
    </row>
    <row r="43" spans="2:20" ht="15.75" x14ac:dyDescent="0.15">
      <c r="C43" t="s">
        <v>63</v>
      </c>
      <c r="J43" s="39" t="s">
        <v>93</v>
      </c>
      <c r="K43" s="29"/>
      <c r="L43" s="29"/>
      <c r="M43" s="105" t="s">
        <v>89</v>
      </c>
      <c r="N43" s="30">
        <f>HLOOKUP($J$33,$D$58:$Q$66,8)</f>
        <v>4.64E-4</v>
      </c>
      <c r="O43" t="s">
        <v>97</v>
      </c>
      <c r="P43" s="108"/>
      <c r="Q43" s="43"/>
      <c r="R43" s="43"/>
      <c r="S43" s="109"/>
      <c r="T43" s="52"/>
    </row>
    <row r="44" spans="2:20" ht="15.75" x14ac:dyDescent="0.15">
      <c r="C44" t="s">
        <v>64</v>
      </c>
      <c r="J44" s="39" t="s">
        <v>94</v>
      </c>
      <c r="K44" s="29"/>
      <c r="L44" s="29"/>
      <c r="M44" s="105" t="s">
        <v>89</v>
      </c>
      <c r="N44" s="30">
        <f>HLOOKUP($J$33,$D$58:$Q$66,9)</f>
        <v>1.4129999999999999E-4</v>
      </c>
      <c r="O44" t="s">
        <v>98</v>
      </c>
      <c r="P44" s="108"/>
      <c r="Q44" s="43"/>
      <c r="R44" s="43"/>
      <c r="S44" s="109"/>
      <c r="T44" s="52"/>
    </row>
    <row r="45" spans="2:20" x14ac:dyDescent="0.15">
      <c r="J45" s="39" t="s">
        <v>51</v>
      </c>
      <c r="K45" s="29"/>
      <c r="L45" s="29"/>
      <c r="M45" s="105" t="s">
        <v>88</v>
      </c>
      <c r="N45" s="30">
        <f>N41/N38/N42</f>
        <v>1.6603915662650599</v>
      </c>
      <c r="P45" s="39" t="s">
        <v>51</v>
      </c>
      <c r="Q45" s="29"/>
      <c r="R45" s="29"/>
      <c r="S45" s="105" t="s">
        <v>88</v>
      </c>
      <c r="T45" s="30">
        <f>N45</f>
        <v>1.6603915662650599</v>
      </c>
    </row>
    <row r="46" spans="2:20" ht="15.75" x14ac:dyDescent="0.15">
      <c r="B46" s="5" t="s">
        <v>19</v>
      </c>
      <c r="J46" s="39" t="s">
        <v>91</v>
      </c>
      <c r="K46" s="29"/>
      <c r="L46" s="29"/>
      <c r="M46" s="105" t="s">
        <v>89</v>
      </c>
      <c r="N46" s="30">
        <f>N35*(N36/N38)^2/N37</f>
        <v>4.0825954420089995E-2</v>
      </c>
      <c r="P46" s="39" t="s">
        <v>91</v>
      </c>
      <c r="Q46" s="29"/>
      <c r="R46" s="29"/>
      <c r="S46" s="105" t="s">
        <v>89</v>
      </c>
      <c r="T46" s="30">
        <f>N46</f>
        <v>4.0825954420089995E-2</v>
      </c>
    </row>
    <row r="47" spans="2:20" ht="15.75" x14ac:dyDescent="0.15">
      <c r="B47" s="5" t="s">
        <v>36</v>
      </c>
      <c r="J47" s="39" t="s">
        <v>92</v>
      </c>
      <c r="K47" s="29"/>
      <c r="L47" s="29"/>
      <c r="M47" s="105" t="s">
        <v>89</v>
      </c>
      <c r="N47" s="30">
        <f>N43+N44+N46</f>
        <v>4.1431254420089998E-2</v>
      </c>
      <c r="P47" s="39" t="s">
        <v>92</v>
      </c>
      <c r="Q47" s="29"/>
      <c r="R47" s="29"/>
      <c r="S47" s="105" t="s">
        <v>89</v>
      </c>
      <c r="T47" s="30">
        <f>T43+T44+T46</f>
        <v>4.0825954420089995E-2</v>
      </c>
    </row>
    <row r="48" spans="2:20" x14ac:dyDescent="0.15">
      <c r="B48" s="5"/>
      <c r="D48" t="s">
        <v>59</v>
      </c>
      <c r="J48" s="31" t="s">
        <v>43</v>
      </c>
      <c r="K48" s="32"/>
      <c r="L48" s="32"/>
      <c r="M48" s="106" t="s">
        <v>90</v>
      </c>
      <c r="N48" s="33">
        <f>N47*N39/(38.2653*(N40-N45))</f>
        <v>3.4047921480864489</v>
      </c>
      <c r="P48" s="31" t="s">
        <v>43</v>
      </c>
      <c r="Q48" s="32"/>
      <c r="R48" s="32"/>
      <c r="S48" s="106" t="s">
        <v>90</v>
      </c>
      <c r="T48" s="33">
        <f>T47*T39/(38.2653*(T40-T45))</f>
        <v>3.3550490081288666</v>
      </c>
    </row>
    <row r="49" spans="1:20" ht="14.25" thickBot="1" x14ac:dyDescent="0.2">
      <c r="B49" s="5" t="s">
        <v>37</v>
      </c>
      <c r="J49" s="34" t="s">
        <v>44</v>
      </c>
      <c r="K49" s="35"/>
      <c r="L49" s="35"/>
      <c r="M49" s="107" t="s">
        <v>90</v>
      </c>
      <c r="N49" s="36">
        <f>N47*N39/(38.2653*(N40+N45))</f>
        <v>0.59248490169545309</v>
      </c>
      <c r="P49" s="34" t="s">
        <v>44</v>
      </c>
      <c r="Q49" s="35"/>
      <c r="R49" s="35"/>
      <c r="S49" s="107" t="s">
        <v>90</v>
      </c>
      <c r="T49" s="36">
        <f>T47*T39/(38.2653*(T40+T45))</f>
        <v>0.58382884925349854</v>
      </c>
    </row>
    <row r="50" spans="1:20" x14ac:dyDescent="0.15">
      <c r="B50" s="5"/>
      <c r="D50" t="s">
        <v>60</v>
      </c>
    </row>
    <row r="51" spans="1:20" x14ac:dyDescent="0.15">
      <c r="B51" s="5"/>
    </row>
    <row r="52" spans="1:20" x14ac:dyDescent="0.15">
      <c r="D52" t="s">
        <v>78</v>
      </c>
    </row>
    <row r="53" spans="1:20" x14ac:dyDescent="0.15">
      <c r="D53" t="s">
        <v>81</v>
      </c>
    </row>
    <row r="55" spans="1:20" x14ac:dyDescent="0.15">
      <c r="D55" t="s">
        <v>82</v>
      </c>
    </row>
    <row r="57" spans="1:20" ht="14.25" thickBot="1" x14ac:dyDescent="0.2">
      <c r="D57" s="5" t="s">
        <v>40</v>
      </c>
      <c r="J57" s="22"/>
      <c r="L57" s="5" t="s">
        <v>39</v>
      </c>
    </row>
    <row r="58" spans="1:20" ht="14.25" thickBot="1" x14ac:dyDescent="0.2">
      <c r="B58" s="23"/>
      <c r="C58" s="18"/>
      <c r="D58" s="14" t="s">
        <v>83</v>
      </c>
      <c r="E58" s="13"/>
      <c r="F58" s="18" t="s">
        <v>75</v>
      </c>
      <c r="G58" s="18"/>
      <c r="H58" s="16" t="s">
        <v>76</v>
      </c>
      <c r="I58" s="13"/>
      <c r="J58" s="18" t="s">
        <v>41</v>
      </c>
      <c r="K58" s="27"/>
      <c r="L58" s="14" t="s">
        <v>74</v>
      </c>
      <c r="M58" s="13"/>
      <c r="N58" s="16" t="s">
        <v>73</v>
      </c>
      <c r="O58" s="13"/>
      <c r="P58" s="16" t="s">
        <v>72</v>
      </c>
      <c r="Q58" s="27"/>
    </row>
    <row r="59" spans="1:20" ht="14.25" thickTop="1" x14ac:dyDescent="0.15">
      <c r="A59">
        <v>1</v>
      </c>
      <c r="B59" s="60" t="s">
        <v>35</v>
      </c>
      <c r="C59" s="19"/>
      <c r="D59" s="61">
        <v>2750</v>
      </c>
      <c r="E59" s="12"/>
      <c r="F59" s="19">
        <v>2000</v>
      </c>
      <c r="G59" s="19"/>
      <c r="H59" s="17">
        <v>2000</v>
      </c>
      <c r="I59" s="12"/>
      <c r="J59" s="19">
        <v>2000</v>
      </c>
      <c r="K59" s="28"/>
      <c r="L59" s="24">
        <v>2650</v>
      </c>
      <c r="M59" s="25"/>
      <c r="N59" s="26">
        <v>2200</v>
      </c>
      <c r="O59" s="25"/>
      <c r="P59" s="26">
        <v>1350</v>
      </c>
      <c r="Q59" s="86"/>
    </row>
    <row r="60" spans="1:20" x14ac:dyDescent="0.15">
      <c r="A60">
        <f>A59+1</f>
        <v>2</v>
      </c>
      <c r="B60" s="55" t="s">
        <v>33</v>
      </c>
      <c r="C60" s="58"/>
      <c r="D60" s="59">
        <v>20</v>
      </c>
      <c r="E60" s="56"/>
      <c r="F60" s="58">
        <v>18</v>
      </c>
      <c r="G60" s="58"/>
      <c r="H60" s="57">
        <v>30</v>
      </c>
      <c r="I60" s="56"/>
      <c r="J60" s="58">
        <v>30</v>
      </c>
      <c r="K60" s="1"/>
      <c r="L60" s="15">
        <v>15.2</v>
      </c>
      <c r="M60" s="12"/>
      <c r="N60" s="17">
        <v>16.600000000000001</v>
      </c>
      <c r="O60" s="12"/>
      <c r="P60" s="17">
        <v>18.190000000000001</v>
      </c>
      <c r="Q60" s="28"/>
    </row>
    <row r="61" spans="1:20" x14ac:dyDescent="0.15">
      <c r="A61">
        <f t="shared" ref="A61:A69" si="1">A60+1</f>
        <v>3</v>
      </c>
      <c r="B61" s="53" t="s">
        <v>80</v>
      </c>
      <c r="C61" s="43"/>
      <c r="D61" s="40">
        <v>1.1299999999999999</v>
      </c>
      <c r="E61" s="41"/>
      <c r="F61" s="43">
        <v>2.94</v>
      </c>
      <c r="G61" s="43"/>
      <c r="H61" s="42">
        <v>7.2</v>
      </c>
      <c r="I61" s="41"/>
      <c r="J61" s="43">
        <v>18.809999999999999</v>
      </c>
      <c r="K61" s="52"/>
      <c r="L61" s="40">
        <v>0.9</v>
      </c>
      <c r="M61" s="41"/>
      <c r="N61" s="42">
        <v>2.36</v>
      </c>
      <c r="O61" s="41"/>
      <c r="P61" s="42">
        <v>5</v>
      </c>
      <c r="Q61" s="52"/>
    </row>
    <row r="62" spans="1:20" x14ac:dyDescent="0.15">
      <c r="A62">
        <f t="shared" si="1"/>
        <v>4</v>
      </c>
      <c r="B62" s="54" t="s">
        <v>38</v>
      </c>
      <c r="C62" s="43"/>
      <c r="D62" s="40">
        <v>0.13</v>
      </c>
      <c r="E62" s="41"/>
      <c r="F62" s="43">
        <v>0.2</v>
      </c>
      <c r="G62" s="43"/>
      <c r="H62" s="42">
        <v>0.23</v>
      </c>
      <c r="I62" s="41"/>
      <c r="J62" s="43">
        <v>0.3</v>
      </c>
      <c r="K62" s="52"/>
      <c r="L62" s="44">
        <v>0.11</v>
      </c>
      <c r="M62" s="45"/>
      <c r="N62" s="46">
        <v>0.15</v>
      </c>
      <c r="O62" s="45"/>
      <c r="P62" s="46">
        <v>0.23</v>
      </c>
      <c r="Q62" s="87"/>
    </row>
    <row r="63" spans="1:20" x14ac:dyDescent="0.15">
      <c r="A63">
        <f t="shared" si="1"/>
        <v>5</v>
      </c>
      <c r="B63" s="54" t="s">
        <v>77</v>
      </c>
      <c r="C63" s="43"/>
      <c r="D63" s="40">
        <v>0.84699999999999998</v>
      </c>
      <c r="E63" s="41"/>
      <c r="F63" s="43">
        <v>0.81</v>
      </c>
      <c r="G63" s="43"/>
      <c r="H63" s="42">
        <v>0.81</v>
      </c>
      <c r="I63" s="41"/>
      <c r="J63" s="43">
        <v>0.89</v>
      </c>
      <c r="K63" s="52"/>
      <c r="L63" s="40">
        <v>0.8</v>
      </c>
      <c r="M63" s="41"/>
      <c r="N63" s="43">
        <v>0.8</v>
      </c>
      <c r="O63" s="41"/>
      <c r="P63" s="43">
        <v>0.79</v>
      </c>
      <c r="Q63" s="52"/>
    </row>
    <row r="64" spans="1:20" x14ac:dyDescent="0.15">
      <c r="A64">
        <f t="shared" si="1"/>
        <v>6</v>
      </c>
      <c r="B64" s="54"/>
      <c r="C64" s="43"/>
      <c r="D64" s="40">
        <f>D61*D60*D63</f>
        <v>19.142199999999999</v>
      </c>
      <c r="E64" s="41"/>
      <c r="F64" s="42">
        <f t="shared" ref="F64" si="2">F61*F60*F63</f>
        <v>42.865200000000002</v>
      </c>
      <c r="G64" s="41"/>
      <c r="H64" s="42">
        <f t="shared" ref="H64" si="3">H61*H60*H63</f>
        <v>174.96</v>
      </c>
      <c r="I64" s="41"/>
      <c r="J64" s="42">
        <f t="shared" ref="J64" si="4">J61*J60*J63</f>
        <v>502.22699999999998</v>
      </c>
      <c r="K64" s="52"/>
      <c r="L64" s="40">
        <f>L61*L60*L63</f>
        <v>10.944000000000001</v>
      </c>
      <c r="M64" s="41"/>
      <c r="N64" s="42">
        <f t="shared" ref="N64:P64" si="5">N61*N60*N63</f>
        <v>31.340800000000002</v>
      </c>
      <c r="O64" s="41"/>
      <c r="P64" s="42">
        <f t="shared" si="5"/>
        <v>71.850500000000011</v>
      </c>
      <c r="Q64" s="52"/>
    </row>
    <row r="65" spans="1:18" x14ac:dyDescent="0.15">
      <c r="A65">
        <f t="shared" si="1"/>
        <v>7</v>
      </c>
      <c r="B65" s="54" t="s">
        <v>68</v>
      </c>
      <c r="C65" s="43"/>
      <c r="D65" s="40">
        <v>2.4800000000000001E-4</v>
      </c>
      <c r="E65" s="41"/>
      <c r="F65" s="43">
        <v>1.0920000000000001E-3</v>
      </c>
      <c r="G65" s="43"/>
      <c r="H65" s="42">
        <v>3.48E-3</v>
      </c>
      <c r="I65" s="41"/>
      <c r="J65" s="43">
        <v>5.4599999999999996E-3</v>
      </c>
      <c r="K65" s="52"/>
      <c r="L65" s="40">
        <v>2.4800000000000001E-4</v>
      </c>
      <c r="M65" s="41"/>
      <c r="N65" s="43">
        <v>4.64E-4</v>
      </c>
      <c r="O65" s="41"/>
      <c r="P65" s="43">
        <v>1.1999999999999999E-3</v>
      </c>
      <c r="Q65" s="52"/>
    </row>
    <row r="66" spans="1:18" ht="14.25" thickBot="1" x14ac:dyDescent="0.2">
      <c r="A66">
        <f t="shared" si="1"/>
        <v>8</v>
      </c>
      <c r="B66" s="47" t="s">
        <v>69</v>
      </c>
      <c r="C66" s="48"/>
      <c r="D66" s="49"/>
      <c r="E66" s="50"/>
      <c r="F66" s="48"/>
      <c r="G66" s="48"/>
      <c r="H66" s="62"/>
      <c r="I66" s="50"/>
      <c r="J66" s="48"/>
      <c r="K66" s="51"/>
      <c r="L66" s="49">
        <v>7.2999999999999999E-5</v>
      </c>
      <c r="M66" s="50"/>
      <c r="N66" s="48">
        <v>1.4129999999999999E-4</v>
      </c>
      <c r="O66" s="50"/>
      <c r="P66" s="48">
        <v>7.5500000000000003E-4</v>
      </c>
      <c r="Q66" s="51"/>
    </row>
    <row r="67" spans="1:18" x14ac:dyDescent="0.15">
      <c r="A67">
        <f t="shared" si="1"/>
        <v>9</v>
      </c>
      <c r="B67" s="74" t="s">
        <v>109</v>
      </c>
      <c r="C67" s="77"/>
      <c r="D67" s="78">
        <v>1470</v>
      </c>
      <c r="E67" s="77"/>
      <c r="F67" s="80">
        <v>4900</v>
      </c>
      <c r="G67" s="84"/>
      <c r="H67" s="79">
        <v>9800</v>
      </c>
      <c r="I67" s="84"/>
      <c r="J67" s="79">
        <v>13524</v>
      </c>
      <c r="K67" s="82"/>
      <c r="L67" s="79">
        <v>1764</v>
      </c>
      <c r="M67" s="84"/>
      <c r="N67" s="79">
        <v>2940</v>
      </c>
      <c r="O67" s="84"/>
      <c r="P67" s="79">
        <v>7350</v>
      </c>
      <c r="Q67" s="81"/>
    </row>
    <row r="68" spans="1:18" x14ac:dyDescent="0.15">
      <c r="A68">
        <f t="shared" si="1"/>
        <v>10</v>
      </c>
      <c r="B68" s="54" t="s">
        <v>71</v>
      </c>
      <c r="C68" s="43"/>
      <c r="D68" s="40">
        <v>0.8</v>
      </c>
      <c r="E68" s="58"/>
      <c r="F68" s="42">
        <f>D68</f>
        <v>0.8</v>
      </c>
      <c r="G68" s="56"/>
      <c r="H68" s="42">
        <f>F68</f>
        <v>0.8</v>
      </c>
      <c r="I68" s="56"/>
      <c r="J68" s="42">
        <f>H68</f>
        <v>0.8</v>
      </c>
      <c r="K68" s="83"/>
      <c r="L68" s="42">
        <f>J68</f>
        <v>0.8</v>
      </c>
      <c r="M68" s="56"/>
      <c r="N68" s="42">
        <f>L68</f>
        <v>0.8</v>
      </c>
      <c r="O68" s="56"/>
      <c r="P68" s="42">
        <f>N68</f>
        <v>0.8</v>
      </c>
      <c r="Q68" s="1"/>
    </row>
    <row r="69" spans="1:18" ht="14.25" thickBot="1" x14ac:dyDescent="0.2">
      <c r="A69">
        <f t="shared" si="1"/>
        <v>11</v>
      </c>
      <c r="B69" s="110" t="s">
        <v>110</v>
      </c>
      <c r="C69" s="111"/>
      <c r="D69" s="112">
        <f>D67*4*D68/9.8</f>
        <v>479.99999999999994</v>
      </c>
      <c r="E69" s="111"/>
      <c r="F69" s="113">
        <f>F67*4*F68/9.8</f>
        <v>1599.9999999999998</v>
      </c>
      <c r="G69" s="114"/>
      <c r="H69" s="113">
        <f>H67*4*H68/9.8</f>
        <v>3199.9999999999995</v>
      </c>
      <c r="I69" s="114"/>
      <c r="J69" s="111">
        <f t="shared" ref="J69" si="6">J67*4*J68/9.8</f>
        <v>4416</v>
      </c>
      <c r="K69" s="115"/>
      <c r="L69" s="111">
        <f t="shared" ref="L69" si="7">L67*4*L68/9.8</f>
        <v>576</v>
      </c>
      <c r="M69" s="114"/>
      <c r="N69" s="111">
        <f t="shared" ref="N69" si="8">N67*4*N68/9.8</f>
        <v>959.99999999999989</v>
      </c>
      <c r="O69" s="114"/>
      <c r="P69" s="111">
        <f t="shared" ref="P69" si="9">P67*4*P68/9.8</f>
        <v>2400</v>
      </c>
      <c r="Q69" s="116"/>
      <c r="R69" s="117" t="s">
        <v>95</v>
      </c>
    </row>
    <row r="73" spans="1:18" x14ac:dyDescent="0.15">
      <c r="B73" s="37" t="s">
        <v>100</v>
      </c>
      <c r="C73" s="6" t="s">
        <v>101</v>
      </c>
    </row>
    <row r="74" spans="1:18" x14ac:dyDescent="0.15">
      <c r="C74" s="212" t="s">
        <v>10</v>
      </c>
      <c r="D74" s="212"/>
      <c r="E74" s="75">
        <f>車輪モータの選定!D6</f>
        <v>2</v>
      </c>
    </row>
    <row r="75" spans="1:18" x14ac:dyDescent="0.15">
      <c r="C75" s="212" t="s">
        <v>5</v>
      </c>
      <c r="D75" s="212"/>
      <c r="E75" s="75">
        <f>車輪モータの選定!D8</f>
        <v>0.03</v>
      </c>
    </row>
    <row r="76" spans="1:18" x14ac:dyDescent="0.15">
      <c r="C76" s="212" t="s">
        <v>7</v>
      </c>
      <c r="D76" s="212"/>
      <c r="E76" s="75">
        <f>車輪モータの選定!D7</f>
        <v>1.5</v>
      </c>
    </row>
    <row r="77" spans="1:18" x14ac:dyDescent="0.15">
      <c r="C77" s="212" t="s">
        <v>9</v>
      </c>
      <c r="D77" s="212"/>
      <c r="E77" s="75">
        <f>車輪モータの選定!D10</f>
        <v>2</v>
      </c>
      <c r="G77" s="20"/>
      <c r="H77" s="20"/>
      <c r="I77" s="20"/>
      <c r="J77" s="20"/>
      <c r="K77" s="22"/>
    </row>
    <row r="78" spans="1:18" x14ac:dyDescent="0.15">
      <c r="C78" s="212" t="s">
        <v>84</v>
      </c>
      <c r="D78" s="212"/>
      <c r="E78" s="75">
        <f>車輪モータの選定!D11</f>
        <v>1</v>
      </c>
      <c r="G78" s="22"/>
      <c r="H78" s="22"/>
      <c r="I78" s="22"/>
      <c r="J78" s="22"/>
      <c r="K78" s="22"/>
    </row>
    <row r="79" spans="1:18" x14ac:dyDescent="0.15">
      <c r="B79" s="22"/>
      <c r="C79" s="22"/>
      <c r="D79" s="22"/>
      <c r="E79" s="22"/>
      <c r="F79" s="22"/>
      <c r="G79" s="22"/>
      <c r="H79" s="22"/>
      <c r="I79" s="22"/>
      <c r="J79" s="22"/>
      <c r="K79" s="22"/>
    </row>
    <row r="80" spans="1:18" ht="14.25" thickBot="1" x14ac:dyDescent="0.2">
      <c r="B80" s="37" t="s">
        <v>102</v>
      </c>
      <c r="C80" s="6" t="s">
        <v>104</v>
      </c>
    </row>
    <row r="81" spans="3:17" x14ac:dyDescent="0.15">
      <c r="C81" s="125"/>
      <c r="D81" s="208" t="str">
        <f>D58</f>
        <v>AWRⅡ010B</v>
      </c>
      <c r="E81" s="211"/>
      <c r="F81" s="206" t="str">
        <f>F58</f>
        <v>AWRⅡ030B-P</v>
      </c>
      <c r="G81" s="207"/>
      <c r="H81" s="208" t="str">
        <f>H58</f>
        <v>AWRⅡ075B-P</v>
      </c>
      <c r="I81" s="211"/>
      <c r="J81" s="206" t="str">
        <f>J58</f>
        <v>AWRⅡ220B</v>
      </c>
      <c r="K81" s="207"/>
      <c r="L81" s="208" t="str">
        <f>L58</f>
        <v>SWR010B-T11</v>
      </c>
      <c r="M81" s="211"/>
      <c r="N81" s="206" t="str">
        <f>N58</f>
        <v>SWR020B-T15</v>
      </c>
      <c r="O81" s="207"/>
      <c r="P81" s="208" t="str">
        <f>P58</f>
        <v>SWR040B-T23</v>
      </c>
      <c r="Q81" s="207"/>
    </row>
    <row r="82" spans="3:17" ht="15.75" x14ac:dyDescent="0.15">
      <c r="C82" s="126" t="s">
        <v>42</v>
      </c>
      <c r="D82" s="124" t="s">
        <v>79</v>
      </c>
      <c r="E82" s="129" t="s">
        <v>103</v>
      </c>
      <c r="F82" s="122" t="s">
        <v>79</v>
      </c>
      <c r="G82" s="123" t="s">
        <v>103</v>
      </c>
      <c r="H82" s="124" t="s">
        <v>79</v>
      </c>
      <c r="I82" s="129" t="s">
        <v>103</v>
      </c>
      <c r="J82" s="122" t="s">
        <v>79</v>
      </c>
      <c r="K82" s="123" t="s">
        <v>103</v>
      </c>
      <c r="L82" s="124" t="s">
        <v>79</v>
      </c>
      <c r="M82" s="129" t="s">
        <v>103</v>
      </c>
      <c r="N82" s="122" t="s">
        <v>79</v>
      </c>
      <c r="O82" s="123" t="s">
        <v>103</v>
      </c>
      <c r="P82" s="124" t="s">
        <v>79</v>
      </c>
      <c r="Q82" s="123" t="s">
        <v>103</v>
      </c>
    </row>
    <row r="83" spans="3:17" x14ac:dyDescent="0.15">
      <c r="C83" s="127">
        <v>50</v>
      </c>
      <c r="D83" s="41">
        <f>$C83*D$62^2*(1/D$60)^2/車輪モータの選定!$D$6+D$65+D$66</f>
        <v>1.3042500000000003E-3</v>
      </c>
      <c r="E83" s="130">
        <f>IF($C83&gt;D$69,,MIN(D$59,(D$61-(9.8*$C83*(車輪モータの選定!$D$8*COS(RADIANS(車輪モータの選定!$D$10))+SIN(RADIANS(車輪モータの選定!$D$10)))*車輪モータの選定!$D$7*D$62/(2*車輪モータの選定!$D$6)/D$60/D$63))*375/9.8/D83*車輪モータの選定!$D$11))</f>
        <v>2750</v>
      </c>
      <c r="F83" s="118">
        <f>$C83*F$62^2*(1/F$60)^2/車輪モータの選定!$D$6+F$65+F$66</f>
        <v>4.1784197530864205E-3</v>
      </c>
      <c r="G83" s="119">
        <f>IF($C83&gt;F$69,,MIN(F$59,(F$61-(9.8*$C83*(車輪モータの選定!$D$8*COS(RADIANS(車輪モータの選定!$D$10))+SIN(RADIANS(車輪モータの選定!$D$10)))*車輪モータの選定!$D$7*F$62/(2*車輪モータの選定!$D$6)/F$60/F$63))*375/9.8/F83*車輪モータの選定!$D$11))</f>
        <v>2000</v>
      </c>
      <c r="H83" s="41">
        <f>$C83*H$62^2*(1/H$60)^2/車輪モータの選定!$D$6+H$65+H$66</f>
        <v>4.9494444444444447E-3</v>
      </c>
      <c r="I83" s="130">
        <f>IF($C83&gt;H$69,,MIN(H$59,(H$61-(9.8*$C83*(車輪モータの選定!$D$8*COS(RADIANS(車輪モータの選定!$D$10))+SIN(RADIANS(車輪モータの選定!$D$10)))*車輪モータの選定!$D$7*H$62/(2*車輪モータの選定!$D$6)/H$60/H$63))*375/9.8/H83*車輪モータの選定!$D$11))</f>
        <v>2000</v>
      </c>
      <c r="J83" s="118">
        <f>$C83*J$62^2*(1/J$60)^2/車輪モータの選定!$D$6+J$65+J$66</f>
        <v>7.9600000000000001E-3</v>
      </c>
      <c r="K83" s="119">
        <f>IF($C83&gt;J$69,,MIN(J$59,(J$61-(9.8*$C83*(車輪モータの選定!$D$8*COS(RADIANS(車輪モータの選定!$D$10))+SIN(RADIANS(車輪モータの選定!$D$10)))*車輪モータの選定!$D$7*J$62/(2*車輪モータの選定!$D$6)/J$60/J$63))*375/9.8/J83*車輪モータの選定!$D$11))</f>
        <v>2000</v>
      </c>
      <c r="L83" s="41">
        <f>$C83*L$62^2*(1/L$60)^2/車輪モータの選定!$D$6+L$65+L$66</f>
        <v>1.6302970914127421E-3</v>
      </c>
      <c r="M83" s="130">
        <f>IF($C83&gt;L$69,,MIN(L$59,(L$61-(9.8*$C83*(車輪モータの選定!$D$8*COS(RADIANS(車輪モータの選定!$D$10))+SIN(RADIANS(車輪モータの選定!$D$10)))*車輪モータの選定!$D$7*L$62/(2*車輪モータの選定!$D$6)/L$60/L$63))*375/9.8/L83*車輪モータの選定!$D$11))</f>
        <v>2650</v>
      </c>
      <c r="N83" s="118">
        <f>$C83*N$62^2*(1/N$60)^2/車輪モータの選定!$D$6+N$65+N$66</f>
        <v>2.6465977210044993E-3</v>
      </c>
      <c r="O83" s="119">
        <f>IF($C83&gt;N$69,,MIN(N$59,(N$61-(9.8*$C83*(車輪モータの選定!$D$8*COS(RADIANS(車輪モータの選定!$D$10))+SIN(RADIANS(車輪モータの選定!$D$10)))*車輪モータの選定!$D$7*N$62/(2*車輪モータの選定!$D$6)/N$60/N$63))*375/9.8/N83*車輪モータの選定!$D$11))</f>
        <v>2200</v>
      </c>
      <c r="P83" s="41">
        <f>$C83*P$62^2*(1/P$60)^2/車輪モータの選定!$D$6+P$65+P$66</f>
        <v>5.9519644226343326E-3</v>
      </c>
      <c r="Q83" s="119">
        <f>IF($C83&gt;P$69,,MIN(P$59,(P$61-(9.8*$C83*(車輪モータの選定!$D$8*COS(RADIANS(車輪モータの選定!$D$10))+SIN(RADIANS(車輪モータの選定!$D$10)))*車輪モータの選定!$D$7*P$62/(2*車輪モータの選定!$D$6)/P$60/P$63))*375/9.8/P83*車輪モータの選定!$D$11))</f>
        <v>1350</v>
      </c>
    </row>
    <row r="84" spans="3:17" x14ac:dyDescent="0.15">
      <c r="C84" s="127">
        <f>C83+C$83</f>
        <v>100</v>
      </c>
      <c r="D84" s="41">
        <f>$C84*D$62^2*(1/D$60)^2/車輪モータの選定!$D$6+D$65+D$66</f>
        <v>2.3605000000000006E-3</v>
      </c>
      <c r="E84" s="130">
        <f>IF($C84&gt;D$69,,MIN(D$59,(D$61-(9.8*$C84*(車輪モータの選定!$D$8*COS(RADIANS(車輪モータの選定!$D$10))+SIN(RADIANS(車輪モータの選定!$D$10)))*車輪モータの選定!$D$7*D$62/(2*車輪モータの選定!$D$6)/D$60/D$63))*375/9.8/D84*車輪モータの選定!$D$11))</f>
        <v>2750</v>
      </c>
      <c r="F84" s="118">
        <f>$C84*F$62^2*(1/F$60)^2/車輪モータの選定!$D$6+F$65+F$66</f>
        <v>7.264839506172841E-3</v>
      </c>
      <c r="G84" s="119">
        <f>IF($C84&gt;F$69,,MIN(F$59,(F$61-(9.8*$C84*(車輪モータの選定!$D$8*COS(RADIANS(車輪モータの選定!$D$10))+SIN(RADIANS(車輪モータの選定!$D$10)))*車輪モータの選定!$D$7*F$62/(2*車輪モータの選定!$D$6)/F$60/F$63))*375/9.8/F84*車輪モータの選定!$D$11))</f>
        <v>2000</v>
      </c>
      <c r="H84" s="41">
        <f>$C84*H$62^2*(1/H$60)^2/車輪モータの選定!$D$6+H$65+H$66</f>
        <v>6.4188888888888889E-3</v>
      </c>
      <c r="I84" s="130">
        <f>IF($C84&gt;H$69,,MIN(H$59,(H$61-(9.8*$C84*(車輪モータの選定!$D$8*COS(RADIANS(車輪モータの選定!$D$10))+SIN(RADIANS(車輪モータの選定!$D$10)))*車輪モータの選定!$D$7*H$62/(2*車輪モータの選定!$D$6)/H$60/H$63))*375/9.8/H84*車輪モータの選定!$D$11))</f>
        <v>2000</v>
      </c>
      <c r="J84" s="118">
        <f>$C84*J$62^2*(1/J$60)^2/車輪モータの選定!$D$6+J$65+J$66</f>
        <v>1.0460000000000001E-2</v>
      </c>
      <c r="K84" s="119">
        <f>IF($C84&gt;J$69,,MIN(J$59,(J$61-(9.8*$C84*(車輪モータの選定!$D$8*COS(RADIANS(車輪モータの選定!$D$10))+SIN(RADIANS(車輪モータの選定!$D$10)))*車輪モータの選定!$D$7*J$62/(2*車輪モータの選定!$D$6)/J$60/J$63))*375/9.8/J84*車輪モータの選定!$D$11))</f>
        <v>2000</v>
      </c>
      <c r="L84" s="41">
        <f>$C84*L$62^2*(1/L$60)^2/車輪モータの選定!$D$6+L$65+L$66</f>
        <v>2.9395941828254846E-3</v>
      </c>
      <c r="M84" s="130">
        <f>IF($C84&gt;L$69,,MIN(L$59,(L$61-(9.8*$C84*(車輪モータの選定!$D$8*COS(RADIANS(車輪モータの選定!$D$10))+SIN(RADIANS(車輪モータの選定!$D$10)))*車輪モータの選定!$D$7*L$62/(2*車輪モータの選定!$D$6)/L$60/L$63))*375/9.8/L84*車輪モータの選定!$D$11))</f>
        <v>2650</v>
      </c>
      <c r="N84" s="118">
        <f>$C84*N$62^2*(1/N$60)^2/車輪モータの選定!$D$6+N$65+N$66</f>
        <v>4.6878954420089981E-3</v>
      </c>
      <c r="O84" s="119">
        <f>IF($C84&gt;N$69,,MIN(N$59,(N$61-(9.8*$C84*(車輪モータの選定!$D$8*COS(RADIANS(車輪モータの選定!$D$10))+SIN(RADIANS(車輪モータの選定!$D$10)))*車輪モータの選定!$D$7*N$62/(2*車輪モータの選定!$D$6)/N$60/N$63))*375/9.8/N84*車輪モータの選定!$D$11))</f>
        <v>2200</v>
      </c>
      <c r="P84" s="41">
        <f>$C84*P$62^2*(1/P$60)^2/車輪モータの選定!$D$6+P$65+P$66</f>
        <v>9.9489288452686668E-3</v>
      </c>
      <c r="Q84" s="119">
        <f>IF($C84&gt;P$69,,MIN(P$59,(P$61-(9.8*$C84*(車輪モータの選定!$D$8*COS(RADIANS(車輪モータの選定!$D$10))+SIN(RADIANS(車輪モータの選定!$D$10)))*車輪モータの選定!$D$7*P$62/(2*車輪モータの選定!$D$6)/P$60/P$63))*375/9.8/P84*車輪モータの選定!$D$11))</f>
        <v>1350</v>
      </c>
    </row>
    <row r="85" spans="3:17" x14ac:dyDescent="0.15">
      <c r="C85" s="127">
        <f>C84+C$83</f>
        <v>150</v>
      </c>
      <c r="D85" s="41">
        <f>$C85*D$62^2*(1/D$60)^2/車輪モータの選定!$D$6+D$65+D$66</f>
        <v>3.4167500000000009E-3</v>
      </c>
      <c r="E85" s="130">
        <f>IF($C85&gt;D$69,,MIN(D$59,(D$61-(9.8*$C85*(車輪モータの選定!$D$8*COS(RADIANS(車輪モータの選定!$D$10))+SIN(RADIANS(車輪モータの選定!$D$10)))*車輪モータの選定!$D$7*D$62/(2*車輪モータの選定!$D$6)/D$60/D$63))*375/9.8/D85*車輪モータの選定!$D$11))</f>
        <v>2750</v>
      </c>
      <c r="F85" s="118">
        <f>$C85*F$62^2*(1/F$60)^2/車輪モータの選定!$D$6+F$65+F$66</f>
        <v>1.0351259259259261E-2</v>
      </c>
      <c r="G85" s="119">
        <f>IF($C85&gt;F$69,,MIN(F$59,(F$61-(9.8*$C85*(車輪モータの選定!$D$8*COS(RADIANS(車輪モータの選定!$D$10))+SIN(RADIANS(車輪モータの選定!$D$10)))*車輪モータの選定!$D$7*F$62/(2*車輪モータの選定!$D$6)/F$60/F$63))*375/9.8/F85*車輪モータの選定!$D$11))</f>
        <v>2000</v>
      </c>
      <c r="H85" s="41">
        <f>$C85*H$62^2*(1/H$60)^2/車輪モータの選定!$D$6+H$65+H$66</f>
        <v>7.888333333333334E-3</v>
      </c>
      <c r="I85" s="130">
        <f>IF($C85&gt;H$69,,MIN(H$59,(H$61-(9.8*$C85*(車輪モータの選定!$D$8*COS(RADIANS(車輪モータの選定!$D$10))+SIN(RADIANS(車輪モータの選定!$D$10)))*車輪モータの選定!$D$7*H$62/(2*車輪モータの選定!$D$6)/H$60/H$63))*375/9.8/H85*車輪モータの選定!$D$11))</f>
        <v>2000</v>
      </c>
      <c r="J85" s="118">
        <f>$C85*J$62^2*(1/J$60)^2/車輪モータの選定!$D$6+J$65+J$66</f>
        <v>1.2959999999999999E-2</v>
      </c>
      <c r="K85" s="119">
        <f>IF($C85&gt;J$69,,MIN(J$59,(J$61-(9.8*$C85*(車輪モータの選定!$D$8*COS(RADIANS(車輪モータの選定!$D$10))+SIN(RADIANS(車輪モータの選定!$D$10)))*車輪モータの選定!$D$7*J$62/(2*車輪モータの選定!$D$6)/J$60/J$63))*375/9.8/J85*車輪モータの選定!$D$11))</f>
        <v>2000</v>
      </c>
      <c r="L85" s="41">
        <f>$C85*L$62^2*(1/L$60)^2/車輪モータの選定!$D$6+L$65+L$66</f>
        <v>4.248891274238227E-3</v>
      </c>
      <c r="M85" s="130">
        <f>IF($C85&gt;L$69,,MIN(L$59,(L$61-(9.8*$C85*(車輪モータの選定!$D$8*COS(RADIANS(車輪モータの選定!$D$10))+SIN(RADIANS(車輪モータの選定!$D$10)))*車輪モータの選定!$D$7*L$62/(2*車輪モータの選定!$D$6)/L$60/L$63))*375/9.8/L85*車輪モータの選定!$D$11))</f>
        <v>2650</v>
      </c>
      <c r="N85" s="118">
        <f>$C85*N$62^2*(1/N$60)^2/車輪モータの選定!$D$6+N$65+N$66</f>
        <v>6.7291931630134973E-3</v>
      </c>
      <c r="O85" s="119">
        <f>IF($C85&gt;N$69,,MIN(N$59,(N$61-(9.8*$C85*(車輪モータの選定!$D$8*COS(RADIANS(車輪モータの選定!$D$10))+SIN(RADIANS(車輪モータの選定!$D$10)))*車輪モータの選定!$D$7*N$62/(2*車輪モータの選定!$D$6)/N$60/N$63))*375/9.8/N85*車輪モータの選定!$D$11))</f>
        <v>2200</v>
      </c>
      <c r="P85" s="41">
        <f>$C85*P$62^2*(1/P$60)^2/車輪モータの選定!$D$6+P$65+P$66</f>
        <v>1.3945893267902999E-2</v>
      </c>
      <c r="Q85" s="119">
        <f>IF($C85&gt;P$69,,MIN(P$59,(P$61-(9.8*$C85*(車輪モータの選定!$D$8*COS(RADIANS(車輪モータの選定!$D$10))+SIN(RADIANS(車輪モータの選定!$D$10)))*車輪モータの選定!$D$7*P$62/(2*車輪モータの選定!$D$6)/P$60/P$63))*375/9.8/P85*車輪モータの選定!$D$11))</f>
        <v>1350</v>
      </c>
    </row>
    <row r="86" spans="3:17" x14ac:dyDescent="0.15">
      <c r="C86" s="127">
        <f t="shared" ref="C86:C92" si="10">C85+C$83</f>
        <v>200</v>
      </c>
      <c r="D86" s="41">
        <f>$C86*D$62^2*(1/D$60)^2/車輪モータの選定!$D$6+D$65+D$66</f>
        <v>4.4730000000000013E-3</v>
      </c>
      <c r="E86" s="130">
        <f>IF($C86&gt;D$69,,MIN(D$59,(D$61-(9.8*$C86*(車輪モータの選定!$D$8*COS(RADIANS(車輪モータの選定!$D$10))+SIN(RADIANS(車輪モータの選定!$D$10)))*車輪モータの選定!$D$7*D$62/(2*車輪モータの選定!$D$6)/D$60/D$63))*375/9.8/D86*車輪モータの選定!$D$11))</f>
        <v>2750</v>
      </c>
      <c r="F86" s="118">
        <f>$C86*F$62^2*(1/F$60)^2/車輪モータの選定!$D$6+F$65+F$66</f>
        <v>1.3437679012345681E-2</v>
      </c>
      <c r="G86" s="119">
        <f>IF($C86&gt;F$69,,MIN(F$59,(F$61-(9.8*$C86*(車輪モータの選定!$D$8*COS(RADIANS(車輪モータの選定!$D$10))+SIN(RADIANS(車輪モータの選定!$D$10)))*車輪モータの選定!$D$7*F$62/(2*車輪モータの選定!$D$6)/F$60/F$63))*375/9.8/F86*車輪モータの選定!$D$11))</f>
        <v>2000</v>
      </c>
      <c r="H86" s="41">
        <f>$C86*H$62^2*(1/H$60)^2/車輪モータの選定!$D$6+H$65+H$66</f>
        <v>9.3577777777777774E-3</v>
      </c>
      <c r="I86" s="130">
        <f>IF($C86&gt;H$69,,MIN(H$59,(H$61-(9.8*$C86*(車輪モータの選定!$D$8*COS(RADIANS(車輪モータの選定!$D$10))+SIN(RADIANS(車輪モータの選定!$D$10)))*車輪モータの選定!$D$7*H$62/(2*車輪モータの選定!$D$6)/H$60/H$63))*375/9.8/H86*車輪モータの選定!$D$11))</f>
        <v>2000</v>
      </c>
      <c r="J86" s="118">
        <f>$C86*J$62^2*(1/J$60)^2/車輪モータの選定!$D$6+J$65+J$66</f>
        <v>1.546E-2</v>
      </c>
      <c r="K86" s="119">
        <f>IF($C86&gt;J$69,,MIN(J$59,(J$61-(9.8*$C86*(車輪モータの選定!$D$8*COS(RADIANS(車輪モータの選定!$D$10))+SIN(RADIANS(車輪モータの選定!$D$10)))*車輪モータの選定!$D$7*J$62/(2*車輪モータの選定!$D$6)/J$60/J$63))*375/9.8/J86*車輪モータの選定!$D$11))</f>
        <v>2000</v>
      </c>
      <c r="L86" s="41">
        <f>$C86*L$62^2*(1/L$60)^2/車輪モータの選定!$D$6+L$65+L$66</f>
        <v>5.5581883656509691E-3</v>
      </c>
      <c r="M86" s="130">
        <f>IF($C86&gt;L$69,,MIN(L$59,(L$61-(9.8*$C86*(車輪モータの選定!$D$8*COS(RADIANS(車輪モータの選定!$D$10))+SIN(RADIANS(車輪モータの選定!$D$10)))*車輪モータの選定!$D$7*L$62/(2*車輪モータの選定!$D$6)/L$60/L$63))*375/9.8/L86*車輪モータの選定!$D$11))</f>
        <v>2650</v>
      </c>
      <c r="N86" s="118">
        <f>$C86*N$62^2*(1/N$60)^2/車輪モータの選定!$D$6+N$65+N$66</f>
        <v>8.7704908840179965E-3</v>
      </c>
      <c r="O86" s="119">
        <f>IF($C86&gt;N$69,,MIN(N$59,(N$61-(9.8*$C86*(車輪モータの選定!$D$8*COS(RADIANS(車輪モータの選定!$D$10))+SIN(RADIANS(車輪モータの選定!$D$10)))*車輪モータの選定!$D$7*N$62/(2*車輪モータの選定!$D$6)/N$60/N$63))*375/9.8/N86*車輪モータの選定!$D$11))</f>
        <v>2200</v>
      </c>
      <c r="P86" s="41">
        <f>$C86*P$62^2*(1/P$60)^2/車輪モータの選定!$D$6+P$65+P$66</f>
        <v>1.7942857690537332E-2</v>
      </c>
      <c r="Q86" s="119">
        <f>IF($C86&gt;P$69,,MIN(P$59,(P$61-(9.8*$C86*(車輪モータの選定!$D$8*COS(RADIANS(車輪モータの選定!$D$10))+SIN(RADIANS(車輪モータの選定!$D$10)))*車輪モータの選定!$D$7*P$62/(2*車輪モータの選定!$D$6)/P$60/P$63))*375/9.8/P86*車輪モータの選定!$D$11))</f>
        <v>1350</v>
      </c>
    </row>
    <row r="87" spans="3:17" x14ac:dyDescent="0.15">
      <c r="C87" s="127">
        <f t="shared" si="10"/>
        <v>250</v>
      </c>
      <c r="D87" s="41">
        <f>$C87*D$62^2*(1/D$60)^2/車輪モータの選定!$D$6+D$65+D$66</f>
        <v>5.529250000000002E-3</v>
      </c>
      <c r="E87" s="130">
        <f>IF($C87&gt;D$69,,MIN(D$59,(D$61-(9.8*$C87*(車輪モータの選定!$D$8*COS(RADIANS(車輪モータの選定!$D$10))+SIN(RADIANS(車輪モータの選定!$D$10)))*車輪モータの選定!$D$7*D$62/(2*車輪モータの選定!$D$6)/D$60/D$63))*375/9.8/D87*車輪モータの選定!$D$11))</f>
        <v>2750</v>
      </c>
      <c r="F87" s="118">
        <f>$C87*F$62^2*(1/F$60)^2/車輪モータの選定!$D$6+F$65+F$66</f>
        <v>1.6524098765432101E-2</v>
      </c>
      <c r="G87" s="119">
        <f>IF($C87&gt;F$69,,MIN(F$59,(F$61-(9.8*$C87*(車輪モータの選定!$D$8*COS(RADIANS(車輪モータの選定!$D$10))+SIN(RADIANS(車輪モータの選定!$D$10)))*車輪モータの選定!$D$7*F$62/(2*車輪モータの選定!$D$6)/F$60/F$63))*375/9.8/F87*車輪モータの選定!$D$11))</f>
        <v>2000</v>
      </c>
      <c r="H87" s="41">
        <f>$C87*H$62^2*(1/H$60)^2/車輪モータの選定!$D$6+H$65+H$66</f>
        <v>1.0827222222222222E-2</v>
      </c>
      <c r="I87" s="130">
        <f>IF($C87&gt;H$69,,MIN(H$59,(H$61-(9.8*$C87*(車輪モータの選定!$D$8*COS(RADIANS(車輪モータの選定!$D$10))+SIN(RADIANS(車輪モータの選定!$D$10)))*車輪モータの選定!$D$7*H$62/(2*車輪モータの選定!$D$6)/H$60/H$63))*375/9.8/H87*車輪モータの選定!$D$11))</f>
        <v>2000</v>
      </c>
      <c r="J87" s="118">
        <f>$C87*J$62^2*(1/J$60)^2/車輪モータの選定!$D$6+J$65+J$66</f>
        <v>1.796E-2</v>
      </c>
      <c r="K87" s="119">
        <f>IF($C87&gt;J$69,,MIN(J$59,(J$61-(9.8*$C87*(車輪モータの選定!$D$8*COS(RADIANS(車輪モータの選定!$D$10))+SIN(RADIANS(車輪モータの選定!$D$10)))*車輪モータの選定!$D$7*J$62/(2*車輪モータの選定!$D$6)/J$60/J$63))*375/9.8/J87*車輪モータの選定!$D$11))</f>
        <v>2000</v>
      </c>
      <c r="L87" s="41">
        <f>$C87*L$62^2*(1/L$60)^2/車輪モータの選定!$D$6+L$65+L$66</f>
        <v>6.8674854570637111E-3</v>
      </c>
      <c r="M87" s="130">
        <f>IF($C87&gt;L$69,,MIN(L$59,(L$61-(9.8*$C87*(車輪モータの選定!$D$8*COS(RADIANS(車輪モータの選定!$D$10))+SIN(RADIANS(車輪モータの選定!$D$10)))*車輪モータの選定!$D$7*L$62/(2*車輪モータの選定!$D$6)/L$60/L$63))*375/9.8/L87*車輪モータの選定!$D$11))</f>
        <v>2010.1835599252311</v>
      </c>
      <c r="N87" s="118">
        <f>$C87*N$62^2*(1/N$60)^2/車輪モータの選定!$D$6+N$65+N$66</f>
        <v>1.0811788605022497E-2</v>
      </c>
      <c r="O87" s="119">
        <f>IF($C87&gt;N$69,,MIN(N$59,(N$61-(9.8*$C87*(車輪モータの選定!$D$8*COS(RADIANS(車輪モータの選定!$D$10))+SIN(RADIANS(車輪モータの選定!$D$10)))*車輪モータの選定!$D$7*N$62/(2*車輪モータの選定!$D$6)/N$60/N$63))*375/9.8/N87*車輪モータの選定!$D$11))</f>
        <v>2200</v>
      </c>
      <c r="P87" s="41">
        <f>$C87*P$62^2*(1/P$60)^2/車輪モータの選定!$D$6+P$65+P$66</f>
        <v>2.1939822113171664E-2</v>
      </c>
      <c r="Q87" s="119">
        <f>IF($C87&gt;P$69,,MIN(P$59,(P$61-(9.8*$C87*(車輪モータの選定!$D$8*COS(RADIANS(車輪モータの選定!$D$10))+SIN(RADIANS(車輪モータの選定!$D$10)))*車輪モータの選定!$D$7*P$62/(2*車輪モータの選定!$D$6)/P$60/P$63))*375/9.8/P87*車輪モータの選定!$D$11))</f>
        <v>1350</v>
      </c>
    </row>
    <row r="88" spans="3:17" x14ac:dyDescent="0.15">
      <c r="C88" s="127">
        <f t="shared" si="10"/>
        <v>300</v>
      </c>
      <c r="D88" s="41">
        <f>$C88*D$62^2*(1/D$60)^2/車輪モータの選定!$D$6+D$65+D$66</f>
        <v>6.5855000000000019E-3</v>
      </c>
      <c r="E88" s="130">
        <f>IF($C88&gt;D$69,,MIN(D$59,(D$61-(9.8*$C88*(車輪モータの選定!$D$8*COS(RADIANS(車輪モータの選定!$D$10))+SIN(RADIANS(車輪モータの選定!$D$10)))*車輪モータの選定!$D$7*D$62/(2*車輪モータの選定!$D$6)/D$60/D$63))*375/9.8/D88*車輪モータの選定!$D$11))</f>
        <v>2750</v>
      </c>
      <c r="F88" s="118">
        <f>$C88*F$62^2*(1/F$60)^2/車輪モータの選定!$D$6+F$65+F$66</f>
        <v>1.961051851851852E-2</v>
      </c>
      <c r="G88" s="119">
        <f>IF($C88&gt;F$69,,MIN(F$59,(F$61-(9.8*$C88*(車輪モータの選定!$D$8*COS(RADIANS(車輪モータの選定!$D$10))+SIN(RADIANS(車輪モータの選定!$D$10)))*車輪モータの選定!$D$7*F$62/(2*車輪モータの選定!$D$6)/F$60/F$63))*375/9.8/F88*車輪モータの選定!$D$11))</f>
        <v>2000</v>
      </c>
      <c r="H88" s="41">
        <f>$C88*H$62^2*(1/H$60)^2/車輪モータの選定!$D$6+H$65+H$66</f>
        <v>1.2296666666666668E-2</v>
      </c>
      <c r="I88" s="130">
        <f>IF($C88&gt;H$69,,MIN(H$59,(H$61-(9.8*$C88*(車輪モータの選定!$D$8*COS(RADIANS(車輪モータの選定!$D$10))+SIN(RADIANS(車輪モータの選定!$D$10)))*車輪モータの選定!$D$7*H$62/(2*車輪モータの選定!$D$6)/H$60/H$63))*375/9.8/H88*車輪モータの選定!$D$11))</f>
        <v>2000</v>
      </c>
      <c r="J88" s="118">
        <f>$C88*J$62^2*(1/J$60)^2/車輪モータの選定!$D$6+J$65+J$66</f>
        <v>2.0459999999999999E-2</v>
      </c>
      <c r="K88" s="119">
        <f>IF($C88&gt;J$69,,MIN(J$59,(J$61-(9.8*$C88*(車輪モータの選定!$D$8*COS(RADIANS(車輪モータの選定!$D$10))+SIN(RADIANS(車輪モータの選定!$D$10)))*車輪モータの選定!$D$7*J$62/(2*車輪モータの選定!$D$6)/J$60/J$63))*375/9.8/J88*車輪モータの選定!$D$11))</f>
        <v>2000</v>
      </c>
      <c r="L88" s="41">
        <f>$C88*L$62^2*(1/L$60)^2/車輪モータの選定!$D$6+L$65+L$66</f>
        <v>8.176782548476454E-3</v>
      </c>
      <c r="M88" s="130">
        <f>IF($C88&gt;L$69,,MIN(L$59,(L$61-(9.8*$C88*(車輪モータの選定!$D$8*COS(RADIANS(車輪モータの選定!$D$10))+SIN(RADIANS(車輪モータの選定!$D$10)))*車輪モータの選定!$D$7*L$62/(2*車輪モータの選定!$D$6)/L$60/L$63))*375/9.8/L88*車輪モータの選定!$D$11))</f>
        <v>1183.6113382201372</v>
      </c>
      <c r="N88" s="118">
        <f>$C88*N$62^2*(1/N$60)^2/車輪モータの選定!$D$6+N$65+N$66</f>
        <v>1.2853086326026997E-2</v>
      </c>
      <c r="O88" s="119">
        <f>IF($C88&gt;N$69,,MIN(N$59,(N$61-(9.8*$C88*(車輪モータの選定!$D$8*COS(RADIANS(車輪モータの選定!$D$10))+SIN(RADIANS(車輪モータの選定!$D$10)))*車輪モータの選定!$D$7*N$62/(2*車輪モータの選定!$D$6)/N$60/N$63))*375/9.8/N88*車輪モータの選定!$D$11))</f>
        <v>2200</v>
      </c>
      <c r="P88" s="41">
        <f>$C88*P$62^2*(1/P$60)^2/車輪モータの選定!$D$6+P$65+P$66</f>
        <v>2.5936786535805997E-2</v>
      </c>
      <c r="Q88" s="119">
        <f>IF($C88&gt;P$69,,MIN(P$59,(P$61-(9.8*$C88*(車輪モータの選定!$D$8*COS(RADIANS(車輪モータの選定!$D$10))+SIN(RADIANS(車輪モータの選定!$D$10)))*車輪モータの選定!$D$7*P$62/(2*車輪モータの選定!$D$6)/P$60/P$63))*375/9.8/P88*車輪モータの選定!$D$11))</f>
        <v>1350</v>
      </c>
    </row>
    <row r="89" spans="3:17" x14ac:dyDescent="0.15">
      <c r="C89" s="127">
        <f t="shared" si="10"/>
        <v>350</v>
      </c>
      <c r="D89" s="41">
        <f>$C89*D$62^2*(1/D$60)^2/車輪モータの選定!$D$6+D$65+D$66</f>
        <v>7.6417500000000027E-3</v>
      </c>
      <c r="E89" s="130">
        <f>IF($C89&gt;D$69,,MIN(D$59,(D$61-(9.8*$C89*(車輪モータの選定!$D$8*COS(RADIANS(車輪モータの選定!$D$10))+SIN(RADIANS(車輪モータの選定!$D$10)))*車輪モータの選定!$D$7*D$62/(2*車輪モータの選定!$D$6)/D$60/D$63))*375/9.8/D89*車輪モータの選定!$D$11))</f>
        <v>2451.4534571072236</v>
      </c>
      <c r="F89" s="118">
        <f>$C89*F$62^2*(1/F$60)^2/車輪モータの選定!$D$6+F$65+F$66</f>
        <v>2.2696938271604943E-2</v>
      </c>
      <c r="G89" s="119">
        <f>IF($C89&gt;F$69,,MIN(F$59,(F$61-(9.8*$C89*(車輪モータの選定!$D$8*COS(RADIANS(車輪モータの選定!$D$10))+SIN(RADIANS(車輪モータの選定!$D$10)))*車輪モータの選定!$D$7*F$62/(2*車輪モータの選定!$D$6)/F$60/F$63))*375/9.8/F89*車輪モータの選定!$D$11))</f>
        <v>2000</v>
      </c>
      <c r="H89" s="41">
        <f>$C89*H$62^2*(1/H$60)^2/車輪モータの選定!$D$6+H$65+H$66</f>
        <v>1.3766111111111113E-2</v>
      </c>
      <c r="I89" s="130">
        <f>IF($C89&gt;H$69,,MIN(H$59,(H$61-(9.8*$C89*(車輪モータの選定!$D$8*COS(RADIANS(車輪モータの選定!$D$10))+SIN(RADIANS(車輪モータの選定!$D$10)))*車輪モータの選定!$D$7*H$62/(2*車輪モータの選定!$D$6)/H$60/H$63))*375/9.8/H89*車輪モータの選定!$D$11))</f>
        <v>2000</v>
      </c>
      <c r="J89" s="118">
        <f>$C89*J$62^2*(1/J$60)^2/車輪モータの選定!$D$6+J$65+J$66</f>
        <v>2.2960000000000001E-2</v>
      </c>
      <c r="K89" s="119">
        <f>IF($C89&gt;J$69,,MIN(J$59,(J$61-(9.8*$C89*(車輪モータの選定!$D$8*COS(RADIANS(車輪モータの選定!$D$10))+SIN(RADIANS(車輪モータの選定!$D$10)))*車輪モータの選定!$D$7*J$62/(2*車輪モータの選定!$D$6)/J$60/J$63))*375/9.8/J89*車輪モータの選定!$D$11))</f>
        <v>2000</v>
      </c>
      <c r="L89" s="41">
        <f>$C89*L$62^2*(1/L$60)^2/車輪モータの選定!$D$6+L$65+L$66</f>
        <v>9.4860796398891951E-3</v>
      </c>
      <c r="M89" s="130">
        <f>IF($C89&gt;L$69,,MIN(L$59,(L$61-(9.8*$C89*(車輪モータの選定!$D$8*COS(RADIANS(車輪モータの選定!$D$10))+SIN(RADIANS(車輪モータの選定!$D$10)))*車輪モータの選定!$D$7*L$62/(2*車輪モータの選定!$D$6)/L$60/L$63))*375/9.8/L89*車輪モータの選定!$D$11))</f>
        <v>585.21105830862768</v>
      </c>
      <c r="N89" s="118">
        <f>$C89*N$62^2*(1/N$60)^2/車輪モータの選定!$D$6+N$65+N$66</f>
        <v>1.4894384047031497E-2</v>
      </c>
      <c r="O89" s="119">
        <f>IF($C89&gt;N$69,,MIN(N$59,(N$61-(9.8*$C89*(車輪モータの選定!$D$8*COS(RADIANS(車輪モータの選定!$D$10))+SIN(RADIANS(車輪モータの選定!$D$10)))*車輪モータの選定!$D$7*N$62/(2*車輪モータの選定!$D$6)/N$60/N$63))*375/9.8/N89*車輪モータの選定!$D$11))</f>
        <v>2200</v>
      </c>
      <c r="P89" s="41">
        <f>$C89*P$62^2*(1/P$60)^2/車輪モータの選定!$D$6+P$65+P$66</f>
        <v>2.9933750958440329E-2</v>
      </c>
      <c r="Q89" s="119">
        <f>IF($C89&gt;P$69,,MIN(P$59,(P$61-(9.8*$C89*(車輪モータの選定!$D$8*COS(RADIANS(車輪モータの選定!$D$10))+SIN(RADIANS(車輪モータの選定!$D$10)))*車輪モータの選定!$D$7*P$62/(2*車輪モータの選定!$D$6)/P$60/P$63))*375/9.8/P89*車輪モータの選定!$D$11))</f>
        <v>1350</v>
      </c>
    </row>
    <row r="90" spans="3:17" x14ac:dyDescent="0.15">
      <c r="C90" s="127">
        <f t="shared" si="10"/>
        <v>400</v>
      </c>
      <c r="D90" s="41">
        <f>$C90*D$62^2*(1/D$60)^2/車輪モータの選定!$D$6+D$65+D$66</f>
        <v>8.6980000000000026E-3</v>
      </c>
      <c r="E90" s="130">
        <f>IF($C90&gt;D$69,,MIN(D$59,(D$61-(9.8*$C90*(車輪モータの選定!$D$8*COS(RADIANS(車輪モータの選定!$D$10))+SIN(RADIANS(車輪モータの選定!$D$10)))*車輪モータの選定!$D$7*D$62/(2*車輪モータの選定!$D$6)/D$60/D$63))*375/9.8/D90*車輪モータの選定!$D$11))</f>
        <v>1751.2623547026524</v>
      </c>
      <c r="F90" s="118">
        <f>$C90*F$62^2*(1/F$60)^2/車輪モータの選定!$D$6+F$65+F$66</f>
        <v>2.5783358024691363E-2</v>
      </c>
      <c r="G90" s="119">
        <f>IF($C90&gt;F$69,,MIN(F$59,(F$61-(9.8*$C90*(車輪モータの選定!$D$8*COS(RADIANS(車輪モータの選定!$D$10))+SIN(RADIANS(車輪モータの選定!$D$10)))*車輪モータの選定!$D$7*F$62/(2*車輪モータの選定!$D$6)/F$60/F$63))*375/9.8/F90*車輪モータの選定!$D$11))</f>
        <v>2000</v>
      </c>
      <c r="H90" s="41">
        <f>$C90*H$62^2*(1/H$60)^2/車輪モータの選定!$D$6+H$65+H$66</f>
        <v>1.5235555555555556E-2</v>
      </c>
      <c r="I90" s="130">
        <f>IF($C90&gt;H$69,,MIN(H$59,(H$61-(9.8*$C90*(車輪モータの選定!$D$8*COS(RADIANS(車輪モータの選定!$D$10))+SIN(RADIANS(車輪モータの選定!$D$10)))*車輪モータの選定!$D$7*H$62/(2*車輪モータの選定!$D$6)/H$60/H$63))*375/9.8/H90*車輪モータの選定!$D$11))</f>
        <v>2000</v>
      </c>
      <c r="J90" s="118">
        <f>$C90*J$62^2*(1/J$60)^2/車輪モータの選定!$D$6+J$65+J$66</f>
        <v>2.546E-2</v>
      </c>
      <c r="K90" s="119">
        <f>IF($C90&gt;J$69,,MIN(J$59,(J$61-(9.8*$C90*(車輪モータの選定!$D$8*COS(RADIANS(車輪モータの選定!$D$10))+SIN(RADIANS(車輪モータの選定!$D$10)))*車輪モータの選定!$D$7*J$62/(2*車輪モータの選定!$D$6)/J$60/J$63))*375/9.8/J90*車輪モータの選定!$D$11))</f>
        <v>2000</v>
      </c>
      <c r="L90" s="41">
        <f>$C90*L$62^2*(1/L$60)^2/車輪モータの選定!$D$6+L$65+L$66</f>
        <v>1.0795376731301938E-2</v>
      </c>
      <c r="M90" s="130">
        <f>IF($C90&gt;L$69,,MIN(L$59,(L$61-(9.8*$C90*(車輪モータの選定!$D$8*COS(RADIANS(車輪モータの選定!$D$10))+SIN(RADIANS(車輪モータの選定!$D$10)))*車輪モータの選定!$D$7*L$62/(2*車輪モータの選定!$D$6)/L$60/L$63))*375/9.8/L90*車輪モータの選定!$D$11))</f>
        <v>131.96249759871748</v>
      </c>
      <c r="N90" s="118">
        <f>$C90*N$62^2*(1/N$60)^2/車輪モータの選定!$D$6+N$65+N$66</f>
        <v>1.6935681768035993E-2</v>
      </c>
      <c r="O90" s="119">
        <f>IF($C90&gt;N$69,,MIN(N$59,(N$61-(9.8*$C90*(車輪モータの選定!$D$8*COS(RADIANS(車輪モータの選定!$D$10))+SIN(RADIANS(車輪モータの選定!$D$10)))*車輪モータの選定!$D$7*N$62/(2*車輪モータの選定!$D$6)/N$60/N$63))*375/9.8/N90*車輪モータの選定!$D$11))</f>
        <v>2200</v>
      </c>
      <c r="P90" s="41">
        <f>$C90*P$62^2*(1/P$60)^2/車輪モータの選定!$D$6+P$65+P$66</f>
        <v>3.3930715381074665E-2</v>
      </c>
      <c r="Q90" s="119">
        <f>IF($C90&gt;P$69,,MIN(P$59,(P$61-(9.8*$C90*(車輪モータの選定!$D$8*COS(RADIANS(車輪モータの選定!$D$10))+SIN(RADIANS(車輪モータの選定!$D$10)))*車輪モータの選定!$D$7*P$62/(2*車輪モータの選定!$D$6)/P$60/P$63))*375/9.8/P90*車輪モータの選定!$D$11))</f>
        <v>1350</v>
      </c>
    </row>
    <row r="91" spans="3:17" x14ac:dyDescent="0.15">
      <c r="C91" s="127">
        <f t="shared" si="10"/>
        <v>450</v>
      </c>
      <c r="D91" s="41">
        <f>$C91*D$62^2*(1/D$60)^2/車輪モータの選定!$D$6+D$65+D$66</f>
        <v>9.7542500000000025E-3</v>
      </c>
      <c r="E91" s="130">
        <f>IF($C91&gt;D$69,,MIN(D$59,(D$61-(9.8*$C91*(車輪モータの選定!$D$8*COS(RADIANS(車輪モータの選定!$D$10))+SIN(RADIANS(車輪モータの選定!$D$10)))*車輪モータの選定!$D$7*D$62/(2*車輪モータの選定!$D$6)/D$60/D$63))*375/9.8/D91*車輪モータの選定!$D$11))</f>
        <v>1202.7132241390377</v>
      </c>
      <c r="F91" s="118">
        <f>$C91*F$62^2*(1/F$60)^2/車輪モータの選定!$D$6+F$65+F$66</f>
        <v>2.8869777777777782E-2</v>
      </c>
      <c r="G91" s="119">
        <f>IF($C91&gt;F$69,,MIN(F$59,(F$61-(9.8*$C91*(車輪モータの選定!$D$8*COS(RADIANS(車輪モータの選定!$D$10))+SIN(RADIANS(車輪モータの選定!$D$10)))*車輪モータの選定!$D$7*F$62/(2*車輪モータの選定!$D$6)/F$60/F$63))*375/9.8/F91*車輪モータの選定!$D$11))</f>
        <v>1945.9621631583607</v>
      </c>
      <c r="H91" s="41">
        <f>$C91*H$62^2*(1/H$60)^2/車輪モータの選定!$D$6+H$65+H$66</f>
        <v>1.6705000000000001E-2</v>
      </c>
      <c r="I91" s="130">
        <f>IF($C91&gt;H$69,,MIN(H$59,(H$61-(9.8*$C91*(車輪モータの選定!$D$8*COS(RADIANS(車輪モータの選定!$D$10))+SIN(RADIANS(車輪モータの選定!$D$10)))*車輪モータの選定!$D$7*H$62/(2*車輪モータの選定!$D$6)/H$60/H$63))*375/9.8/H91*車輪モータの選定!$D$11))</f>
        <v>2000</v>
      </c>
      <c r="J91" s="118">
        <f>$C91*J$62^2*(1/J$60)^2/車輪モータの選定!$D$6+J$65+J$66</f>
        <v>2.7959999999999999E-2</v>
      </c>
      <c r="K91" s="119">
        <f>IF($C91&gt;J$69,,MIN(J$59,(J$61-(9.8*$C91*(車輪モータの選定!$D$8*COS(RADIANS(車輪モータの選定!$D$10))+SIN(RADIANS(車輪モータの選定!$D$10)))*車輪モータの選定!$D$7*J$62/(2*車輪モータの選定!$D$6)/J$60/J$63))*375/9.8/J91*車輪モータの選定!$D$11))</f>
        <v>2000</v>
      </c>
      <c r="L91" s="41">
        <f>$C91*L$62^2*(1/L$60)^2/車輪モータの選定!$D$6+L$65+L$66</f>
        <v>1.2104673822714681E-2</v>
      </c>
      <c r="M91" s="130">
        <f>IF($C91&gt;L$69,,MIN(L$59,(L$61-(9.8*$C91*(車輪モータの選定!$D$8*COS(RADIANS(車輪モータの選定!$D$10))+SIN(RADIANS(車輪モータの選定!$D$10)))*車輪モータの選定!$D$7*L$62/(2*車輪モータの選定!$D$6)/L$60/L$63))*375/9.8/L91*車輪モータの選定!$D$11))</f>
        <v>-223.23517286565868</v>
      </c>
      <c r="N91" s="118">
        <f>$C91*N$62^2*(1/N$60)^2/車輪モータの選定!$D$6+N$65+N$66</f>
        <v>1.8976979489040494E-2</v>
      </c>
      <c r="O91" s="119">
        <f>IF($C91&gt;N$69,,MIN(N$59,(N$61-(9.8*$C91*(車輪モータの選定!$D$8*COS(RADIANS(車輪モータの選定!$D$10))+SIN(RADIANS(車輪モータの選定!$D$10)))*車輪モータの選定!$D$7*N$62/(2*車輪モータの選定!$D$6)/N$60/N$63))*375/9.8/N91*車輪モータの選定!$D$11))</f>
        <v>2200</v>
      </c>
      <c r="P91" s="41">
        <f>$C91*P$62^2*(1/P$60)^2/車輪モータの選定!$D$6+P$65+P$66</f>
        <v>3.7927679803708994E-2</v>
      </c>
      <c r="Q91" s="119">
        <f>IF($C91&gt;P$69,,MIN(P$59,(P$61-(9.8*$C91*(車輪モータの選定!$D$8*COS(RADIANS(車輪モータの選定!$D$10))+SIN(RADIANS(車輪モータの選定!$D$10)))*車輪モータの選定!$D$7*P$62/(2*車輪モータの選定!$D$6)/P$60/P$63))*375/9.8/P91*車輪モータの選定!$D$11))</f>
        <v>1350</v>
      </c>
    </row>
    <row r="92" spans="3:17" x14ac:dyDescent="0.15">
      <c r="C92" s="127">
        <f t="shared" si="10"/>
        <v>500</v>
      </c>
      <c r="D92" s="41">
        <f>$C92*D$62^2*(1/D$60)^2/車輪モータの選定!$D$6+D$65+D$66</f>
        <v>1.0810500000000004E-2</v>
      </c>
      <c r="E92" s="130">
        <f>IF($C92&gt;D$69,,MIN(D$59,(D$61-(9.8*$C92*(車輪モータの選定!$D$8*COS(RADIANS(車輪モータの選定!$D$10))+SIN(RADIANS(車輪モータの選定!$D$10)))*車輪モータの選定!$D$7*D$62/(2*車輪モータの選定!$D$6)/D$60/D$63))*375/9.8/D92*車輪モータの選定!$D$11))</f>
        <v>0</v>
      </c>
      <c r="F92" s="118">
        <f>$C92*F$62^2*(1/F$60)^2/車輪モータの選定!$D$6+F$65+F$66</f>
        <v>3.1956197530864205E-2</v>
      </c>
      <c r="G92" s="119">
        <f>IF($C92&gt;F$69,,MIN(F$59,(F$61-(9.8*$C92*(車輪モータの選定!$D$8*COS(RADIANS(車輪モータの選定!$D$10))+SIN(RADIANS(車輪モータの選定!$D$10)))*車輪モータの選定!$D$7*F$62/(2*車輪モータの選定!$D$6)/F$60/F$63))*375/9.8/F92*車輪モータの選定!$D$11))</f>
        <v>1562.1902856576462</v>
      </c>
      <c r="H92" s="41">
        <f>$C92*H$62^2*(1/H$60)^2/車輪モータの選定!$D$6+H$65+H$66</f>
        <v>1.8174444444444444E-2</v>
      </c>
      <c r="I92" s="130">
        <f>IF($C92&gt;H$69,,MIN(H$59,(H$61-(9.8*$C92*(車輪モータの選定!$D$8*COS(RADIANS(車輪モータの選定!$D$10))+SIN(RADIANS(車輪モータの選定!$D$10)))*車輪モータの選定!$D$7*H$62/(2*車輪モータの選定!$D$6)/H$60/H$63))*375/9.8/H92*車輪モータの選定!$D$11))</f>
        <v>2000</v>
      </c>
      <c r="J92" s="118">
        <f>$C92*J$62^2*(1/J$60)^2/車輪モータの選定!$D$6+J$65+J$66</f>
        <v>3.0460000000000001E-2</v>
      </c>
      <c r="K92" s="119">
        <f>IF($C92&gt;J$69,,MIN(J$59,(J$61-(9.8*$C92*(車輪モータの選定!$D$8*COS(RADIANS(車輪モータの選定!$D$10))+SIN(RADIANS(車輪モータの選定!$D$10)))*車輪モータの選定!$D$7*J$62/(2*車輪モータの選定!$D$6)/J$60/J$63))*375/9.8/J92*車輪モータの選定!$D$11))</f>
        <v>2000</v>
      </c>
      <c r="L92" s="41">
        <f>$C92*L$62^2*(1/L$60)^2/車輪モータの選定!$D$6+L$65+L$66</f>
        <v>1.3413970914127422E-2</v>
      </c>
      <c r="M92" s="130">
        <f>IF($C92&gt;L$69,,MIN(L$59,(L$61-(9.8*$C92*(車輪モータの選定!$D$8*COS(RADIANS(車輪モータの選定!$D$10))+SIN(RADIANS(車輪モータの選定!$D$10)))*車輪モータの選定!$D$7*L$62/(2*車輪モータの選定!$D$6)/L$60/L$63))*375/9.8/L92*車輪モータの選定!$D$11))</f>
        <v>-509.0933047559941</v>
      </c>
      <c r="N92" s="118">
        <f>$C92*N$62^2*(1/N$60)^2/車輪モータの選定!$D$6+N$65+N$66</f>
        <v>2.1018277210044994E-2</v>
      </c>
      <c r="O92" s="119">
        <f>IF($C92&gt;N$69,,MIN(N$59,(N$61-(9.8*$C92*(車輪モータの選定!$D$8*COS(RADIANS(車輪モータの選定!$D$10))+SIN(RADIANS(車輪モータの選定!$D$10)))*車輪モータの選定!$D$7*N$62/(2*車輪モータの選定!$D$6)/N$60/N$63))*375/9.8/N92*車輪モータの選定!$D$11))</f>
        <v>1844.9632852788181</v>
      </c>
      <c r="P92" s="41">
        <f>$C92*P$62^2*(1/P$60)^2/車輪モータの選定!$D$6+P$65+P$66</f>
        <v>4.192464422634333E-2</v>
      </c>
      <c r="Q92" s="119">
        <f>IF($C92&gt;P$69,,MIN(P$59,(P$61-(9.8*$C92*(車輪モータの選定!$D$8*COS(RADIANS(車輪モータの選定!$D$10))+SIN(RADIANS(車輪モータの選定!$D$10)))*車輪モータの選定!$D$7*P$62/(2*車輪モータの選定!$D$6)/P$60/P$63))*375/9.8/P92*車輪モータの選定!$D$11))</f>
        <v>1350</v>
      </c>
    </row>
    <row r="93" spans="3:17" x14ac:dyDescent="0.15">
      <c r="C93" s="127">
        <f t="shared" ref="C93" si="11">C92+C$84*1</f>
        <v>600</v>
      </c>
      <c r="D93" s="41">
        <f>$C93*D$62^2*(1/D$60)^2/車輪モータの選定!$D$6+D$65+D$66</f>
        <v>1.2923000000000004E-2</v>
      </c>
      <c r="E93" s="130">
        <f>IF($C93&gt;D$69,,MIN(D$59,(D$61-(9.8*$C93*(車輪モータの選定!$D$8*COS(RADIANS(車輪モータの選定!$D$10))+SIN(RADIANS(車輪モータの選定!$D$10)))*車輪モータの選定!$D$7*D$62/(2*車輪モータの選定!$D$6)/D$60/D$63))*375/9.8/D93*車輪モータの選定!$D$11))</f>
        <v>0</v>
      </c>
      <c r="F93" s="118">
        <f>$C93*F$62^2*(1/F$60)^2/車輪モータの選定!$D$6+F$65+F$66</f>
        <v>3.8129037037037045E-2</v>
      </c>
      <c r="G93" s="119">
        <f>IF($C93&gt;F$69,,MIN(F$59,(F$61-(9.8*$C93*(車輪モータの選定!$D$8*COS(RADIANS(車輪モータの選定!$D$10))+SIN(RADIANS(車輪モータの選定!$D$10)))*車輪モータの選定!$D$7*F$62/(2*車輪モータの選定!$D$6)/F$60/F$63))*375/9.8/F93*車輪モータの選定!$D$11))</f>
        <v>981.03693473278065</v>
      </c>
      <c r="H93" s="41">
        <f>$C93*H$62^2*(1/H$60)^2/車輪モータの選定!$D$6+H$65+H$66</f>
        <v>2.1113333333333335E-2</v>
      </c>
      <c r="I93" s="130">
        <f>IF($C93&gt;H$69,,MIN(H$59,(H$61-(9.8*$C93*(車輪モータの選定!$D$8*COS(RADIANS(車輪モータの選定!$D$10))+SIN(RADIANS(車輪モータの選定!$D$10)))*車輪モータの選定!$D$7*H$62/(2*車輪モータの選定!$D$6)/H$60/H$63))*375/9.8/H93*車輪モータの選定!$D$11))</f>
        <v>2000</v>
      </c>
      <c r="J93" s="118">
        <f>$C93*J$62^2*(1/J$60)^2/車輪モータの選定!$D$6+J$65+J$66</f>
        <v>3.5459999999999998E-2</v>
      </c>
      <c r="K93" s="119">
        <f>IF($C93&gt;J$69,,MIN(J$59,(J$61-(9.8*$C93*(車輪モータの選定!$D$8*COS(RADIANS(車輪モータの選定!$D$10))+SIN(RADIANS(車輪モータの選定!$D$10)))*車輪モータの選定!$D$7*J$62/(2*車輪モータの選定!$D$6)/J$60/J$63))*375/9.8/J93*車輪モータの選定!$D$11))</f>
        <v>2000</v>
      </c>
      <c r="L93" s="41">
        <f>$C93*L$62^2*(1/L$60)^2/車輪モータの選定!$D$6+L$65+L$66</f>
        <v>1.603256509695291E-2</v>
      </c>
      <c r="M93" s="130">
        <f>IF($C93&gt;L$69,,MIN(L$59,(L$61-(9.8*$C93*(車輪モータの選定!$D$8*COS(RADIANS(車輪モータの選定!$D$10))+SIN(RADIANS(車輪モータの選定!$D$10)))*車輪モータの選定!$D$7*L$62/(2*車輪モータの選定!$D$6)/L$60/L$63))*375/9.8/L93*車輪モータの選定!$D$11))</f>
        <v>0</v>
      </c>
      <c r="N93" s="118">
        <f>$C93*N$62^2*(1/N$60)^2/車輪モータの選定!$D$6+N$65+N$66</f>
        <v>2.510087265205399E-2</v>
      </c>
      <c r="O93" s="119">
        <f>IF($C93&gt;N$69,,MIN(N$59,(N$61-(9.8*$C93*(車輪モータの選定!$D$8*COS(RADIANS(車輪モータの選定!$D$10))+SIN(RADIANS(車輪モータの選定!$D$10)))*車輪モータの選定!$D$7*N$62/(2*車輪モータの選定!$D$6)/N$60/N$63))*375/9.8/N93*車輪モータの選定!$D$11))</f>
        <v>1134.3157519540987</v>
      </c>
      <c r="P93" s="41">
        <f>$C93*P$62^2*(1/P$60)^2/車輪モータの選定!$D$6+P$65+P$66</f>
        <v>4.9918573071611995E-2</v>
      </c>
      <c r="Q93" s="119">
        <f>IF($C93&gt;P$69,,MIN(P$59,(P$61-(9.8*$C93*(車輪モータの選定!$D$8*COS(RADIANS(車輪モータの選定!$D$10))+SIN(RADIANS(車輪モータの選定!$D$10)))*車輪モータの選定!$D$7*P$62/(2*車輪モータの選定!$D$6)/P$60/P$63))*375/9.8/P93*車輪モータの選定!$D$11))</f>
        <v>1350</v>
      </c>
    </row>
    <row r="94" spans="3:17" x14ac:dyDescent="0.15">
      <c r="C94" s="127">
        <f>C93+C$84*1</f>
        <v>700</v>
      </c>
      <c r="D94" s="41">
        <f>$C94*D$62^2*(1/D$60)^2/車輪モータの選定!$D$6+D$65+D$66</f>
        <v>1.5035500000000005E-2</v>
      </c>
      <c r="E94" s="130">
        <f>IF($C94&gt;D$69,,MIN(D$59,(D$61-(9.8*$C94*(車輪モータの選定!$D$8*COS(RADIANS(車輪モータの選定!$D$10))+SIN(RADIANS(車輪モータの選定!$D$10)))*車輪モータの選定!$D$7*D$62/(2*車輪モータの選定!$D$6)/D$60/D$63))*375/9.8/D94*車輪モータの選定!$D$11))</f>
        <v>0</v>
      </c>
      <c r="F94" s="118">
        <f>$C94*F$62^2*(1/F$60)^2/車輪モータの選定!$D$6+F$65+F$66</f>
        <v>4.4301876543209891E-2</v>
      </c>
      <c r="G94" s="119">
        <f>IF($C94&gt;F$69,,MIN(F$59,(F$61-(9.8*$C94*(車輪モータの選定!$D$8*COS(RADIANS(車輪モータの選定!$D$10))+SIN(RADIANS(車輪モータの選定!$D$10)))*車輪モータの選定!$D$7*F$62/(2*車輪モータの選定!$D$6)/F$60/F$63))*375/9.8/F94*車輪モータの選定!$D$11))</f>
        <v>561.83457296002496</v>
      </c>
      <c r="H94" s="41">
        <f>$C94*H$62^2*(1/H$60)^2/車輪モータの選定!$D$6+H$65+H$66</f>
        <v>2.4052222222222225E-2</v>
      </c>
      <c r="I94" s="130">
        <f>IF($C94&gt;H$69,,MIN(H$59,(H$61-(9.8*$C94*(車輪モータの選定!$D$8*COS(RADIANS(車輪モータの選定!$D$10))+SIN(RADIANS(車輪モータの選定!$D$10)))*車輪モータの選定!$D$7*H$62/(2*車輪モータの選定!$D$6)/H$60/H$63))*375/9.8/H94*車輪モータの選定!$D$11))</f>
        <v>2000</v>
      </c>
      <c r="J94" s="118">
        <f>$C94*J$62^2*(1/J$60)^2/車輪モータの選定!$D$6+J$65+J$66</f>
        <v>4.0460000000000003E-2</v>
      </c>
      <c r="K94" s="119">
        <f>IF($C94&gt;J$69,,MIN(J$59,(J$61-(9.8*$C94*(車輪モータの選定!$D$8*COS(RADIANS(車輪モータの選定!$D$10))+SIN(RADIANS(車輪モータの選定!$D$10)))*車輪モータの選定!$D$7*J$62/(2*車輪モータの選定!$D$6)/J$60/J$63))*375/9.8/J94*車輪モータの選定!$D$11))</f>
        <v>2000</v>
      </c>
      <c r="L94" s="41">
        <f>$C94*L$62^2*(1/L$60)^2/車輪モータの選定!$D$6+L$65+L$66</f>
        <v>1.8651159279778392E-2</v>
      </c>
      <c r="M94" s="130">
        <f>IF($C94&gt;L$69,,MIN(L$59,(L$61-(9.8*$C94*(車輪モータの選定!$D$8*COS(RADIANS(車輪モータの選定!$D$10))+SIN(RADIANS(車輪モータの選定!$D$10)))*車輪モータの選定!$D$7*L$62/(2*車輪モータの選定!$D$6)/L$60/L$63))*375/9.8/L94*車輪モータの選定!$D$11))</f>
        <v>0</v>
      </c>
      <c r="N94" s="118">
        <f>$C94*N$62^2*(1/N$60)^2/車輪モータの選定!$D$6+N$65+N$66</f>
        <v>2.9183468094062991E-2</v>
      </c>
      <c r="O94" s="119">
        <f>IF($C94&gt;N$69,,MIN(N$59,(N$61-(9.8*$C94*(車輪モータの選定!$D$8*COS(RADIANS(車輪モータの選定!$D$10))+SIN(RADIANS(車輪モータの選定!$D$10)))*車輪モータの選定!$D$7*N$62/(2*車輪モータの選定!$D$6)/N$60/N$63))*375/9.8/N94*車輪モータの選定!$D$11))</f>
        <v>622.49903414966866</v>
      </c>
      <c r="P94" s="41">
        <f>$C94*P$62^2*(1/P$60)^2/車輪モータの選定!$D$6+P$65+P$66</f>
        <v>5.791250191688066E-2</v>
      </c>
      <c r="Q94" s="119">
        <f>IF($C94&gt;P$69,,MIN(P$59,(P$61-(9.8*$C94*(車輪モータの選定!$D$8*COS(RADIANS(車輪モータの選定!$D$10))+SIN(RADIANS(車輪モータの選定!$D$10)))*車輪モータの選定!$D$7*P$62/(2*車輪モータの選定!$D$6)/P$60/P$63))*375/9.8/P94*車輪モータの選定!$D$11))</f>
        <v>1350</v>
      </c>
    </row>
    <row r="95" spans="3:17" x14ac:dyDescent="0.15">
      <c r="C95" s="127">
        <f t="shared" ref="C95:C97" si="12">C94+C$84*1</f>
        <v>800</v>
      </c>
      <c r="D95" s="41">
        <f>$C95*D$62^2*(1/D$60)^2/車輪モータの選定!$D$6+D$65+D$66</f>
        <v>1.7148000000000007E-2</v>
      </c>
      <c r="E95" s="130">
        <f>IF($C95&gt;D$69,,MIN(D$59,(D$61-(9.8*$C95*(車輪モータの選定!$D$8*COS(RADIANS(車輪モータの選定!$D$10))+SIN(RADIANS(車輪モータの選定!$D$10)))*車輪モータの選定!$D$7*D$62/(2*車輪モータの選定!$D$6)/D$60/D$63))*375/9.8/D95*車輪モータの選定!$D$11))</f>
        <v>0</v>
      </c>
      <c r="F95" s="118">
        <f>$C95*F$62^2*(1/F$60)^2/車輪モータの選定!$D$6+F$65+F$66</f>
        <v>5.047471604938273E-2</v>
      </c>
      <c r="G95" s="119">
        <f>IF($C95&gt;F$69,,MIN(F$59,(F$61-(9.8*$C95*(車輪モータの選定!$D$8*COS(RADIANS(車輪モータの選定!$D$10))+SIN(RADIANS(車輪モータの選定!$D$10)))*車輪モータの選定!$D$7*F$62/(2*車輪モータの選定!$D$6)/F$60/F$63))*375/9.8/F95*車輪モータの選定!$D$11))</f>
        <v>245.16548338240713</v>
      </c>
      <c r="H95" s="41">
        <f>$C95*H$62^2*(1/H$60)^2/車輪モータの選定!$D$6+H$65+H$66</f>
        <v>2.6991111111111112E-2</v>
      </c>
      <c r="I95" s="130">
        <f>IF($C95&gt;H$69,,MIN(H$59,(H$61-(9.8*$C95*(車輪モータの選定!$D$8*COS(RADIANS(車輪モータの選定!$D$10))+SIN(RADIANS(車輪モータの選定!$D$10)))*車輪モータの選定!$D$7*H$62/(2*車輪モータの選定!$D$6)/H$60/H$63))*375/9.8/H95*車輪モータの選定!$D$11))</f>
        <v>2000</v>
      </c>
      <c r="J95" s="118">
        <f>$C95*J$62^2*(1/J$60)^2/車輪モータの選定!$D$6+J$65+J$66</f>
        <v>4.546E-2</v>
      </c>
      <c r="K95" s="119">
        <f>IF($C95&gt;J$69,,MIN(J$59,(J$61-(9.8*$C95*(車輪モータの選定!$D$8*COS(RADIANS(車輪モータの選定!$D$10))+SIN(RADIANS(車輪モータの選定!$D$10)))*車輪モータの選定!$D$7*J$62/(2*車輪モータの選定!$D$6)/J$60/J$63))*375/9.8/J95*車輪モータの選定!$D$11))</f>
        <v>2000</v>
      </c>
      <c r="L95" s="41">
        <f>$C95*L$62^2*(1/L$60)^2/車輪モータの選定!$D$6+L$65+L$66</f>
        <v>2.1269753462603878E-2</v>
      </c>
      <c r="M95" s="130">
        <f>IF($C95&gt;L$69,,MIN(L$59,(L$61-(9.8*$C95*(車輪モータの選定!$D$8*COS(RADIANS(車輪モータの選定!$D$10))+SIN(RADIANS(車輪モータの選定!$D$10)))*車輪モータの選定!$D$7*L$62/(2*車輪モータの選定!$D$6)/L$60/L$63))*375/9.8/L95*車輪モータの選定!$D$11))</f>
        <v>0</v>
      </c>
      <c r="N95" s="118">
        <f>$C95*N$62^2*(1/N$60)^2/車輪モータの選定!$D$6+N$65+N$66</f>
        <v>3.3266063536071984E-2</v>
      </c>
      <c r="O95" s="119">
        <f>IF($C95&gt;N$69,,MIN(N$59,(N$61-(9.8*$C95*(車輪モータの選定!$D$8*COS(RADIANS(車輪モータの選定!$D$10))+SIN(RADIANS(車輪モータの選定!$D$10)))*車輪モータの選定!$D$7*N$62/(2*車輪モータの選定!$D$6)/N$60/N$63))*375/9.8/N95*車輪モータの選定!$D$11))</f>
        <v>236.30827728808225</v>
      </c>
      <c r="P95" s="41">
        <f>$C95*P$62^2*(1/P$60)^2/車輪モータの選定!$D$6+P$65+P$66</f>
        <v>6.5906430762149346E-2</v>
      </c>
      <c r="Q95" s="119">
        <f>IF($C95&gt;P$69,,MIN(P$59,(P$61-(9.8*$C95*(車輪モータの選定!$D$8*COS(RADIANS(車輪モータの選定!$D$10))+SIN(RADIANS(車輪モータの選定!$D$10)))*車輪モータの選定!$D$7*P$62/(2*車輪モータの選定!$D$6)/P$60/P$63))*375/9.8/P95*車輪モータの選定!$D$11))</f>
        <v>1130.3981810597438</v>
      </c>
    </row>
    <row r="96" spans="3:17" x14ac:dyDescent="0.15">
      <c r="C96" s="127">
        <f t="shared" si="12"/>
        <v>900</v>
      </c>
      <c r="D96" s="41">
        <f>$C96*D$62^2*(1/D$60)^2/車輪モータの選定!$D$6+D$65+D$66</f>
        <v>1.9260500000000007E-2</v>
      </c>
      <c r="E96" s="130">
        <f>IF($C96&gt;D$69,,MIN(D$59,(D$61-(9.8*$C96*(車輪モータの選定!$D$8*COS(RADIANS(車輪モータの選定!$D$10))+SIN(RADIANS(車輪モータの選定!$D$10)))*車輪モータの選定!$D$7*D$62/(2*車輪モータの選定!$D$6)/D$60/D$63))*375/9.8/D96*車輪モータの選定!$D$11))</f>
        <v>0</v>
      </c>
      <c r="F96" s="118">
        <f>$C96*F$62^2*(1/F$60)^2/車輪モータの選定!$D$6+F$65+F$66</f>
        <v>5.6647555555555569E-2</v>
      </c>
      <c r="G96" s="119">
        <f>IF($C96&gt;F$69,,MIN(F$59,(F$61-(9.8*$C96*(車輪モータの選定!$D$8*COS(RADIANS(車輪モータの選定!$D$10))+SIN(RADIANS(車輪モータの選定!$D$10)))*車輪モータの選定!$D$7*F$62/(2*車輪モータの選定!$D$6)/F$60/F$63))*375/9.8/F96*車輪モータの選定!$D$11))</f>
        <v>-2.4892437092093829</v>
      </c>
      <c r="H96" s="41">
        <f>$C96*H$62^2*(1/H$60)^2/車輪モータの選定!$D$6+H$65+H$66</f>
        <v>2.9930000000000002E-2</v>
      </c>
      <c r="I96" s="130">
        <f>IF($C96&gt;H$69,,MIN(H$59,(H$61-(9.8*$C96*(車輪モータの選定!$D$8*COS(RADIANS(車輪モータの選定!$D$10))+SIN(RADIANS(車輪モータの選定!$D$10)))*車輪モータの選定!$D$7*H$62/(2*車輪モータの選定!$D$6)/H$60/H$63))*375/9.8/H96*車輪モータの選定!$D$11))</f>
        <v>2000</v>
      </c>
      <c r="J96" s="118">
        <f>$C96*J$62^2*(1/J$60)^2/車輪モータの選定!$D$6+J$65+J$66</f>
        <v>5.0459999999999998E-2</v>
      </c>
      <c r="K96" s="119">
        <f>IF($C96&gt;J$69,,MIN(J$59,(J$61-(9.8*$C96*(車輪モータの選定!$D$8*COS(RADIANS(車輪モータの選定!$D$10))+SIN(RADIANS(車輪モータの選定!$D$10)))*車輪モータの選定!$D$7*J$62/(2*車輪モータの選定!$D$6)/J$60/J$63))*375/9.8/J96*車輪モータの選定!$D$11))</f>
        <v>2000</v>
      </c>
      <c r="L96" s="41">
        <f>$C96*L$62^2*(1/L$60)^2/車輪モータの選定!$D$6+L$65+L$66</f>
        <v>2.3888347645429363E-2</v>
      </c>
      <c r="M96" s="130">
        <f>IF($C96&gt;L$69,,MIN(L$59,(L$61-(9.8*$C96*(車輪モータの選定!$D$8*COS(RADIANS(車輪モータの選定!$D$10))+SIN(RADIANS(車輪モータの選定!$D$10)))*車輪モータの選定!$D$7*L$62/(2*車輪モータの選定!$D$6)/L$60/L$63))*375/9.8/L96*車輪モータの選定!$D$11))</f>
        <v>0</v>
      </c>
      <c r="N96" s="118">
        <f>$C96*N$62^2*(1/N$60)^2/車輪モータの選定!$D$6+N$65+N$66</f>
        <v>3.7348658978080984E-2</v>
      </c>
      <c r="O96" s="119">
        <f>IF($C96&gt;N$69,,MIN(N$59,(N$61-(9.8*$C96*(車輪モータの選定!$D$8*COS(RADIANS(車輪モータの選定!$D$10))+SIN(RADIANS(車輪モータの選定!$D$10)))*車輪モータの選定!$D$7*N$62/(2*車輪モータの選定!$D$6)/N$60/N$63))*375/9.8/N96*車輪モータの選定!$D$11))</f>
        <v>-65.453176522252292</v>
      </c>
      <c r="P96" s="41">
        <f>$C96*P$62^2*(1/P$60)^2/車輪モータの選定!$D$6+P$65+P$66</f>
        <v>7.3900359607418004E-2</v>
      </c>
      <c r="Q96" s="119">
        <f>IF($C96&gt;P$69,,MIN(P$59,(P$61-(9.8*$C96*(車輪モータの選定!$D$8*COS(RADIANS(車輪モータの選定!$D$10))+SIN(RADIANS(車輪モータの選定!$D$10)))*車輪モータの選定!$D$7*P$62/(2*車輪モータの選定!$D$6)/P$60/P$63))*375/9.8/P96*車輪モータの選定!$D$11))</f>
        <v>810.51373940594158</v>
      </c>
    </row>
    <row r="97" spans="3:17" x14ac:dyDescent="0.15">
      <c r="C97" s="127">
        <f t="shared" si="12"/>
        <v>1000</v>
      </c>
      <c r="D97" s="41">
        <f>$C97*D$62^2*(1/D$60)^2/車輪モータの選定!$D$6+D$65+D$66</f>
        <v>2.137300000000001E-2</v>
      </c>
      <c r="E97" s="130">
        <f>IF($C97&gt;D$69,,MIN(D$59,(D$61-(9.8*$C97*(車輪モータの選定!$D$8*COS(RADIANS(車輪モータの選定!$D$10))+SIN(RADIANS(車輪モータの選定!$D$10)))*車輪モータの選定!$D$7*D$62/(2*車輪モータの選定!$D$6)/D$60/D$63))*375/9.8/D97*車輪モータの選定!$D$11))</f>
        <v>0</v>
      </c>
      <c r="F97" s="118">
        <f>$C97*F$62^2*(1/F$60)^2/車輪モータの選定!$D$6+F$65+F$66</f>
        <v>6.2820395061728401E-2</v>
      </c>
      <c r="G97" s="119">
        <f>IF($C97&gt;F$69,,MIN(F$59,(F$61-(9.8*$C97*(車輪モータの選定!$D$8*COS(RADIANS(車輪モータの選定!$D$10))+SIN(RADIANS(車輪モータの選定!$D$10)))*車輪モータの選定!$D$7*F$62/(2*車輪モータの選定!$D$6)/F$60/F$63))*375/9.8/F97*車輪モータの選定!$D$11))</f>
        <v>-201.47401634481079</v>
      </c>
      <c r="H97" s="41">
        <f>$C97*H$62^2*(1/H$60)^2/車輪モータの選定!$D$6+H$65+H$66</f>
        <v>3.2868888888888892E-2</v>
      </c>
      <c r="I97" s="130">
        <f>IF($C97&gt;H$69,,MIN(H$59,(H$61-(9.8*$C97*(車輪モータの選定!$D$8*COS(RADIANS(車輪モータの選定!$D$10))+SIN(RADIANS(車輪モータの選定!$D$10)))*車輪モータの選定!$D$7*H$62/(2*車輪モータの選定!$D$6)/H$60/H$63))*375/9.8/H97*車輪モータの選定!$D$11))</f>
        <v>2000</v>
      </c>
      <c r="J97" s="118">
        <f>$C97*J$62^2*(1/J$60)^2/車輪モータの選定!$D$6+J$65+J$66</f>
        <v>5.5460000000000002E-2</v>
      </c>
      <c r="K97" s="119">
        <f>IF($C97&gt;J$69,,MIN(J$59,(J$61-(9.8*$C97*(車輪モータの選定!$D$8*COS(RADIANS(車輪モータの選定!$D$10))+SIN(RADIANS(車輪モータの選定!$D$10)))*車輪モータの選定!$D$7*J$62/(2*車輪モータの選定!$D$6)/J$60/J$63))*375/9.8/J97*車輪モータの選定!$D$11))</f>
        <v>2000</v>
      </c>
      <c r="L97" s="41">
        <f>$C97*L$62^2*(1/L$60)^2/車輪モータの選定!$D$6+L$65+L$66</f>
        <v>2.6506941828254846E-2</v>
      </c>
      <c r="M97" s="130">
        <f>IF($C97&gt;L$69,,MIN(L$59,(L$61-(9.8*$C97*(車輪モータの選定!$D$8*COS(RADIANS(車輪モータの選定!$D$10))+SIN(RADIANS(車輪モータの選定!$D$10)))*車輪モータの選定!$D$7*L$62/(2*車輪モータの選定!$D$6)/L$60/L$63))*375/9.8/L97*車輪モータの選定!$D$11))</f>
        <v>0</v>
      </c>
      <c r="N97" s="118">
        <f>$C97*N$62^2*(1/N$60)^2/車輪モータの選定!$D$6+N$65+N$66</f>
        <v>4.1431254420089984E-2</v>
      </c>
      <c r="O97" s="119">
        <f>IF($C97&gt;N$69,,MIN(N$59,(N$61-(9.8*$C97*(車輪モータの選定!$D$8*COS(RADIANS(車輪モータの選定!$D$10))+SIN(RADIANS(車輪モータの選定!$D$10)))*車輪モータの選定!$D$7*N$62/(2*車輪モータの選定!$D$6)/N$60/N$63))*375/9.8/N97*車輪モータの選定!$D$11))</f>
        <v>0</v>
      </c>
      <c r="P97" s="41">
        <f>$C97*P$62^2*(1/P$60)^2/車輪モータの選定!$D$6+P$65+P$66</f>
        <v>8.1894288452686675E-2</v>
      </c>
      <c r="Q97" s="119">
        <f>IF($C97&gt;P$69,,MIN(P$59,(P$61-(9.8*$C97*(車輪モータの選定!$D$8*COS(RADIANS(車輪モータの選定!$D$10))+SIN(RADIANS(車輪モータの選定!$D$10)))*車輪モータの選定!$D$7*P$62/(2*車輪モータの選定!$D$6)/P$60/P$63))*375/9.8/P97*車輪モータの選定!$D$11))</f>
        <v>553.07891453503237</v>
      </c>
    </row>
    <row r="98" spans="3:17" x14ac:dyDescent="0.15">
      <c r="C98" s="127">
        <f t="shared" ref="C98:C110" si="13">C97+C$84*2</f>
        <v>1200</v>
      </c>
      <c r="D98" s="41">
        <f>$C98*D$62^2*(1/D$60)^2/車輪モータの選定!$D$6+D$65+D$66</f>
        <v>2.559800000000001E-2</v>
      </c>
      <c r="E98" s="130">
        <f>IF($C98&gt;D$69,,MIN(D$59,(D$61-(9.8*$C98*(車輪モータの選定!$D$8*COS(RADIANS(車輪モータの選定!$D$10))+SIN(RADIANS(車輪モータの選定!$D$10)))*車輪モータの選定!$D$7*D$62/(2*車輪モータの選定!$D$6)/D$60/D$63))*375/9.8/D98*車輪モータの選定!$D$11))</f>
        <v>0</v>
      </c>
      <c r="F98" s="118">
        <f>$C98*F$62^2*(1/F$60)^2/車輪モータの選定!$D$6+F$65+F$66</f>
        <v>7.516607407407408E-2</v>
      </c>
      <c r="G98" s="119">
        <f>IF($C98&gt;F$69,,MIN(F$59,(F$61-(9.8*$C98*(車輪モータの選定!$D$8*COS(RADIANS(車輪モータの選定!$D$10))+SIN(RADIANS(車輪モータの選定!$D$10)))*車輪モータの選定!$D$7*F$62/(2*車輪モータの選定!$D$6)/F$60/F$63))*375/9.8/F98*車輪モータの選定!$D$11))</f>
        <v>-501.39658384452179</v>
      </c>
      <c r="H98" s="41">
        <f>$C98*H$62^2*(1/H$60)^2/車輪モータの選定!$D$6+H$65+H$66</f>
        <v>3.8746666666666665E-2</v>
      </c>
      <c r="I98" s="130">
        <f>IF($C98&gt;H$69,,MIN(H$59,(H$61-(9.8*$C98*(車輪モータの選定!$D$8*COS(RADIANS(車輪モータの選定!$D$10))+SIN(RADIANS(車輪モータの選定!$D$10)))*車輪モータの選定!$D$7*H$62/(2*車輪モータの選定!$D$6)/H$60/H$63))*375/9.8/H98*車輪モータの選定!$D$11))</f>
        <v>2000</v>
      </c>
      <c r="J98" s="118">
        <f>$C98*J$62^2*(1/J$60)^2/車輪モータの選定!$D$6+J$65+J$66</f>
        <v>6.545999999999999E-2</v>
      </c>
      <c r="K98" s="119">
        <f>IF($C98&gt;J$69,,MIN(J$59,(J$61-(9.8*$C98*(車輪モータの選定!$D$8*COS(RADIANS(車輪モータの選定!$D$10))+SIN(RADIANS(車輪モータの選定!$D$10)))*車輪モータの選定!$D$7*J$62/(2*車輪モータの選定!$D$6)/J$60/J$63))*375/9.8/J98*車輪モータの選定!$D$11))</f>
        <v>2000</v>
      </c>
      <c r="L98" s="41">
        <f>$C98*L$62^2*(1/L$60)^2/車輪モータの選定!$D$6+L$65+L$66</f>
        <v>3.174413019390581E-2</v>
      </c>
      <c r="M98" s="130">
        <f>IF($C98&gt;L$69,,MIN(L$59,(L$61-(9.8*$C98*(車輪モータの選定!$D$8*COS(RADIANS(車輪モータの選定!$D$10))+SIN(RADIANS(車輪モータの選定!$D$10)))*車輪モータの選定!$D$7*L$62/(2*車輪モータの選定!$D$6)/L$60/L$63))*375/9.8/L98*車輪モータの選定!$D$11))</f>
        <v>0</v>
      </c>
      <c r="N98" s="118">
        <f>$C98*N$62^2*(1/N$60)^2/車輪モータの選定!$D$6+N$65+N$66</f>
        <v>4.9596445304107978E-2</v>
      </c>
      <c r="O98" s="119">
        <f>IF($C98&gt;N$69,,MIN(N$59,(N$61-(9.8*$C98*(車輪モータの選定!$D$8*COS(RADIANS(車輪モータの選定!$D$10))+SIN(RADIANS(車輪モータの選定!$D$10)))*車輪モータの選定!$D$7*N$62/(2*車輪モータの選定!$D$6)/N$60/N$63))*375/9.8/N98*車輪モータの選定!$D$11))</f>
        <v>0</v>
      </c>
      <c r="P98" s="41">
        <f>$C98*P$62^2*(1/P$60)^2/車輪モータの選定!$D$6+P$65+P$66</f>
        <v>9.7882146143224005E-2</v>
      </c>
      <c r="Q98" s="119">
        <f>IF($C98&gt;P$69,,MIN(P$59,(P$61-(9.8*$C98*(車輪モータの選定!$D$8*COS(RADIANS(車輪モータの選定!$D$10))+SIN(RADIANS(車輪モータの選定!$D$10)))*車輪モータの選定!$D$7*P$62/(2*車輪モータの選定!$D$6)/P$60/P$63))*375/9.8/P98*車輪モータの選定!$D$11))</f>
        <v>164.35580448806516</v>
      </c>
    </row>
    <row r="99" spans="3:17" x14ac:dyDescent="0.15">
      <c r="C99" s="127">
        <f t="shared" si="13"/>
        <v>1400</v>
      </c>
      <c r="D99" s="41">
        <f>$C99*D$62^2*(1/D$60)^2/車輪モータの選定!$D$6+D$65+D$66</f>
        <v>2.9823000000000013E-2</v>
      </c>
      <c r="E99" s="130">
        <f>IF($C99&gt;D$69,,MIN(D$59,(D$61-(9.8*$C99*(車輪モータの選定!$D$8*COS(RADIANS(車輪モータの選定!$D$10))+SIN(RADIANS(車輪モータの選定!$D$10)))*車輪モータの選定!$D$7*D$62/(2*車輪モータの選定!$D$6)/D$60/D$63))*375/9.8/D99*車輪モータの選定!$D$11))</f>
        <v>0</v>
      </c>
      <c r="F99" s="118">
        <f>$C99*F$62^2*(1/F$60)^2/車輪モータの選定!$D$6+F$65+F$66</f>
        <v>8.7511753086419772E-2</v>
      </c>
      <c r="G99" s="119">
        <f>IF($C99&gt;F$69,,MIN(F$59,(F$61-(9.8*$C99*(車輪モータの選定!$D$8*COS(RADIANS(車輪モータの選定!$D$10))+SIN(RADIANS(車輪モータの選定!$D$10)))*車輪モータの選定!$D$7*F$62/(2*車輪モータの選定!$D$6)/F$60/F$63))*375/9.8/F99*車輪モータの選定!$D$11))</f>
        <v>-716.6962837562985</v>
      </c>
      <c r="H99" s="41">
        <f>$C99*H$62^2*(1/H$60)^2/車輪モータの選定!$D$6+H$65+H$66</f>
        <v>4.4624444444444446E-2</v>
      </c>
      <c r="I99" s="130">
        <f>IF($C99&gt;H$69,,MIN(H$59,(H$61-(9.8*$C99*(車輪モータの選定!$D$8*COS(RADIANS(車輪モータの選定!$D$10))+SIN(RADIANS(車輪モータの選定!$D$10)))*車輪モータの選定!$D$7*H$62/(2*車輪モータの選定!$D$6)/H$60/H$63))*375/9.8/H99*車輪モータの選定!$D$11))</f>
        <v>2000</v>
      </c>
      <c r="J99" s="118">
        <f>$C99*J$62^2*(1/J$60)^2/車輪モータの選定!$D$6+J$65+J$66</f>
        <v>7.5459999999999999E-2</v>
      </c>
      <c r="K99" s="119">
        <f>IF($C99&gt;J$69,,MIN(J$59,(J$61-(9.8*$C99*(車輪モータの選定!$D$8*COS(RADIANS(車輪モータの選定!$D$10))+SIN(RADIANS(車輪モータの選定!$D$10)))*車輪モータの選定!$D$7*J$62/(2*車輪モータの選定!$D$6)/J$60/J$63))*375/9.8/J99*車輪モータの選定!$D$11))</f>
        <v>2000</v>
      </c>
      <c r="L99" s="41">
        <f>$C99*L$62^2*(1/L$60)^2/車輪モータの選定!$D$6+L$65+L$66</f>
        <v>3.6981318559556775E-2</v>
      </c>
      <c r="M99" s="130">
        <f>IF($C99&gt;L$69,,MIN(L$59,(L$61-(9.8*$C99*(車輪モータの選定!$D$8*COS(RADIANS(車輪モータの選定!$D$10))+SIN(RADIANS(車輪モータの選定!$D$10)))*車輪モータの選定!$D$7*L$62/(2*車輪モータの選定!$D$6)/L$60/L$63))*375/9.8/L99*車輪モータの選定!$D$11))</f>
        <v>0</v>
      </c>
      <c r="N99" s="118">
        <f>$C99*N$62^2*(1/N$60)^2/車輪モータの選定!$D$6+N$65+N$66</f>
        <v>5.7761636188125978E-2</v>
      </c>
      <c r="O99" s="119">
        <f>IF($C99&gt;N$69,,MIN(N$59,(N$61-(9.8*$C99*(車輪モータの選定!$D$8*COS(RADIANS(車輪モータの選定!$D$10))+SIN(RADIANS(車輪モータの選定!$D$10)))*車輪モータの選定!$D$7*N$62/(2*車輪モータの選定!$D$6)/N$60/N$63))*375/9.8/N99*車輪モータの選定!$D$11))</f>
        <v>0</v>
      </c>
      <c r="P99" s="41">
        <f>$C99*P$62^2*(1/P$60)^2/車輪モータの選定!$D$6+P$65+P$66</f>
        <v>0.11387000383376134</v>
      </c>
      <c r="Q99" s="119">
        <f>IF($C99&gt;P$69,,MIN(P$59,(P$61-(9.8*$C99*(車輪モータの選定!$D$8*COS(RADIANS(車輪モータの選定!$D$10))+SIN(RADIANS(車輪モータの選定!$D$10)))*車輪モータの選定!$D$7*P$62/(2*車輪モータの選定!$D$6)/P$60/P$63))*375/9.8/P99*車輪モータの選定!$D$11))</f>
        <v>-115.21038002604507</v>
      </c>
    </row>
    <row r="100" spans="3:17" x14ac:dyDescent="0.15">
      <c r="C100" s="127">
        <f t="shared" si="13"/>
        <v>1600</v>
      </c>
      <c r="D100" s="41">
        <f>$C100*D$62^2*(1/D$60)^2/車輪モータの選定!$D$6+D$65+D$66</f>
        <v>3.4048000000000009E-2</v>
      </c>
      <c r="E100" s="130">
        <f>IF($C100&gt;D$69,,MIN(D$59,(D$61-(9.8*$C100*(車輪モータの選定!$D$8*COS(RADIANS(車輪モータの選定!$D$10))+SIN(RADIANS(車輪モータの選定!$D$10)))*車輪モータの選定!$D$7*D$62/(2*車輪モータの選定!$D$6)/D$60/D$63))*375/9.8/D100*車輪モータの選定!$D$11))</f>
        <v>0</v>
      </c>
      <c r="F100" s="118">
        <f>$C100*F$62^2*(1/F$60)^2/車輪モータの選定!$D$6+F$65+F$66</f>
        <v>9.985743209876545E-2</v>
      </c>
      <c r="G100" s="119">
        <f>IF($C100&gt;F$69,,MIN(F$59,(F$61-(9.8*$C100*(車輪モータの選定!$D$8*COS(RADIANS(車輪モータの選定!$D$10))+SIN(RADIANS(車輪モータの選定!$D$10)))*車輪モータの選定!$D$7*F$62/(2*車輪モータの選定!$D$6)/F$60/F$63))*375/9.8/F100*車輪モータの選定!$D$11))</f>
        <v>-878.75966603603001</v>
      </c>
      <c r="H100" s="41">
        <f>$C100*H$62^2*(1/H$60)^2/車輪モータの選定!$D$6+H$65+H$66</f>
        <v>5.0502222222222219E-2</v>
      </c>
      <c r="I100" s="130">
        <f>IF($C100&gt;H$69,,MIN(H$59,(H$61-(9.8*$C100*(車輪モータの選定!$D$8*COS(RADIANS(車輪モータの選定!$D$10))+SIN(RADIANS(車輪モータの選定!$D$10)))*車輪モータの選定!$D$7*H$62/(2*車輪モータの選定!$D$6)/H$60/H$63))*375/9.8/H100*車輪モータの選定!$D$11))</f>
        <v>2000</v>
      </c>
      <c r="J100" s="118">
        <f>$C100*J$62^2*(1/J$60)^2/車輪モータの選定!$D$6+J$65+J$66</f>
        <v>8.5460000000000008E-2</v>
      </c>
      <c r="K100" s="119">
        <f>IF($C100&gt;J$69,,MIN(J$59,(J$61-(9.8*$C100*(車輪モータの選定!$D$8*COS(RADIANS(車輪モータの選定!$D$10))+SIN(RADIANS(車輪モータの選定!$D$10)))*車輪モータの選定!$D$7*J$62/(2*車輪モータの選定!$D$6)/J$60/J$63))*375/9.8/J100*車輪モータの選定!$D$11))</f>
        <v>2000</v>
      </c>
      <c r="L100" s="41">
        <f>$C100*L$62^2*(1/L$60)^2/車輪モータの選定!$D$6+L$65+L$66</f>
        <v>4.2218506925207747E-2</v>
      </c>
      <c r="M100" s="130">
        <f>IF($C100&gt;L$69,,MIN(L$59,(L$61-(9.8*$C100*(車輪モータの選定!$D$8*COS(RADIANS(車輪モータの選定!$D$10))+SIN(RADIANS(車輪モータの選定!$D$10)))*車輪モータの選定!$D$7*L$62/(2*車輪モータの選定!$D$6)/L$60/L$63))*375/9.8/L100*車輪モータの選定!$D$11))</f>
        <v>0</v>
      </c>
      <c r="N100" s="118">
        <f>$C100*N$62^2*(1/N$60)^2/車輪モータの選定!$D$6+N$65+N$66</f>
        <v>6.5926827072143979E-2</v>
      </c>
      <c r="O100" s="119">
        <f>IF($C100&gt;N$69,,MIN(N$59,(N$61-(9.8*$C100*(車輪モータの選定!$D$8*COS(RADIANS(車輪モータの選定!$D$10))+SIN(RADIANS(車輪モータの選定!$D$10)))*車輪モータの選定!$D$7*N$62/(2*車輪モータの選定!$D$6)/N$60/N$63))*375/9.8/N100*車輪モータの選定!$D$11))</f>
        <v>0</v>
      </c>
      <c r="P100" s="41">
        <f>$C100*P$62^2*(1/P$60)^2/車輪モータの選定!$D$6+P$65+P$66</f>
        <v>0.12985786152429868</v>
      </c>
      <c r="Q100" s="119">
        <f>IF($C100&gt;P$69,,MIN(P$59,(P$61-(9.8*$C100*(車輪モータの選定!$D$8*COS(RADIANS(車輪モータの選定!$D$10))+SIN(RADIANS(車輪モータの選定!$D$10)))*車輪モータの選定!$D$7*P$62/(2*車輪モータの選定!$D$6)/P$60/P$63))*375/9.8/P100*車輪モータの選定!$D$11))</f>
        <v>-325.93723019978972</v>
      </c>
    </row>
    <row r="101" spans="3:17" x14ac:dyDescent="0.15">
      <c r="C101" s="127">
        <f t="shared" si="13"/>
        <v>1800</v>
      </c>
      <c r="D101" s="41">
        <f>$C101*D$62^2*(1/D$60)^2/車輪モータの選定!$D$6+D$65+D$66</f>
        <v>3.8273000000000008E-2</v>
      </c>
      <c r="E101" s="130">
        <f>IF($C101&gt;D$69,,MIN(D$59,(D$61-(9.8*$C101*(車輪モータの選定!$D$8*COS(RADIANS(車輪モータの選定!$D$10))+SIN(RADIANS(車輪モータの選定!$D$10)))*車輪モータの選定!$D$7*D$62/(2*車輪モータの選定!$D$6)/D$60/D$63))*375/9.8/D101*車輪モータの選定!$D$11))</f>
        <v>0</v>
      </c>
      <c r="F101" s="118">
        <f>$C101*F$62^2*(1/F$60)^2/車輪モータの選定!$D$6+F$65+F$66</f>
        <v>0.11220311111111113</v>
      </c>
      <c r="G101" s="119">
        <f>IF($C101&gt;F$69,,MIN(F$59,(F$61-(9.8*$C101*(車輪モータの選定!$D$8*COS(RADIANS(車輪モータの選定!$D$10))+SIN(RADIANS(車輪モータの選定!$D$10)))*車輪モータの選定!$D$7*F$62/(2*車輪モータの選定!$D$6)/F$60/F$63))*375/9.8/F101*車輪モータの選定!$D$11))</f>
        <v>0</v>
      </c>
      <c r="H101" s="41">
        <f>$C101*H$62^2*(1/H$60)^2/車輪モータの選定!$D$6+H$65+H$66</f>
        <v>5.638E-2</v>
      </c>
      <c r="I101" s="130">
        <f>IF($C101&gt;H$69,,MIN(H$59,(H$61-(9.8*$C101*(車輪モータの選定!$D$8*COS(RADIANS(車輪モータの選定!$D$10))+SIN(RADIANS(車輪モータの選定!$D$10)))*車輪モータの選定!$D$7*H$62/(2*車輪モータの選定!$D$6)/H$60/H$63))*375/9.8/H101*車輪モータの選定!$D$11))</f>
        <v>2000</v>
      </c>
      <c r="J101" s="118">
        <f>$C101*J$62^2*(1/J$60)^2/車輪モータの選定!$D$6+J$65+J$66</f>
        <v>9.5459999999999989E-2</v>
      </c>
      <c r="K101" s="119">
        <f>IF($C101&gt;J$69,,MIN(J$59,(J$61-(9.8*$C101*(車輪モータの選定!$D$8*COS(RADIANS(車輪モータの選定!$D$10))+SIN(RADIANS(車輪モータの選定!$D$10)))*車輪モータの選定!$D$7*J$62/(2*車輪モータの選定!$D$6)/J$60/J$63))*375/9.8/J101*車輪モータの選定!$D$11))</f>
        <v>2000</v>
      </c>
      <c r="L101" s="41">
        <f>$C101*L$62^2*(1/L$60)^2/車輪モータの選定!$D$6+L$65+L$66</f>
        <v>4.7455695290858718E-2</v>
      </c>
      <c r="M101" s="130">
        <f>IF($C101&gt;L$69,,MIN(L$59,(L$61-(9.8*$C101*(車輪モータの選定!$D$8*COS(RADIANS(車輪モータの選定!$D$10))+SIN(RADIANS(車輪モータの選定!$D$10)))*車輪モータの選定!$D$7*L$62/(2*車輪モータの選定!$D$6)/L$60/L$63))*375/9.8/L101*車輪モータの選定!$D$11))</f>
        <v>0</v>
      </c>
      <c r="N101" s="118">
        <f>$C101*N$62^2*(1/N$60)^2/車輪モータの選定!$D$6+N$65+N$66</f>
        <v>7.4092017956161979E-2</v>
      </c>
      <c r="O101" s="119">
        <f>IF($C101&gt;N$69,,MIN(N$59,(N$61-(9.8*$C101*(車輪モータの選定!$D$8*COS(RADIANS(車輪モータの選定!$D$10))+SIN(RADIANS(車輪モータの選定!$D$10)))*車輪モータの選定!$D$7*N$62/(2*車輪モータの選定!$D$6)/N$60/N$63))*375/9.8/N101*車輪モータの選定!$D$11))</f>
        <v>0</v>
      </c>
      <c r="P101" s="41">
        <f>$C101*P$62^2*(1/P$60)^2/車輪モータの選定!$D$6+P$65+P$66</f>
        <v>0.14584571921483599</v>
      </c>
      <c r="Q101" s="119">
        <f>IF($C101&gt;P$69,,MIN(P$59,(P$61-(9.8*$C101*(車輪モータの選定!$D$8*COS(RADIANS(車輪モータの選定!$D$10))+SIN(RADIANS(車輪モータの選定!$D$10)))*車輪モータの選定!$D$7*P$62/(2*車輪モータの選定!$D$6)/P$60/P$63))*375/9.8/P101*車輪モータの選定!$D$11))</f>
        <v>-490.46360345462949</v>
      </c>
    </row>
    <row r="102" spans="3:17" x14ac:dyDescent="0.15">
      <c r="C102" s="127">
        <f t="shared" si="13"/>
        <v>2000</v>
      </c>
      <c r="D102" s="41">
        <f>$C102*D$62^2*(1/D$60)^2/車輪モータの選定!$D$6+D$65+D$66</f>
        <v>4.2498000000000015E-2</v>
      </c>
      <c r="E102" s="130">
        <f>IF($C102&gt;D$69,,MIN(D$59,(D$61-(9.8*$C102*(車輪モータの選定!$D$8*COS(RADIANS(車輪モータの選定!$D$10))+SIN(RADIANS(車輪モータの選定!$D$10)))*車輪モータの選定!$D$7*D$62/(2*車輪モータの選定!$D$6)/D$60/D$63))*375/9.8/D102*車輪モータの選定!$D$11))</f>
        <v>0</v>
      </c>
      <c r="F102" s="118">
        <f>$C102*F$62^2*(1/F$60)^2/車輪モータの選定!$D$6+F$65+F$66</f>
        <v>0.12454879012345681</v>
      </c>
      <c r="G102" s="119">
        <f>IF($C102&gt;F$69,,MIN(F$59,(F$61-(9.8*$C102*(車輪モータの選定!$D$8*COS(RADIANS(車輪モータの選定!$D$10))+SIN(RADIANS(車輪モータの選定!$D$10)))*車輪モータの選定!$D$7*F$62/(2*車輪モータの選定!$D$6)/F$60/F$63))*375/9.8/F102*車輪モータの選定!$D$11))</f>
        <v>0</v>
      </c>
      <c r="H102" s="41">
        <f>$C102*H$62^2*(1/H$60)^2/車輪モータの選定!$D$6+H$65+H$66</f>
        <v>6.225777777777778E-2</v>
      </c>
      <c r="I102" s="130">
        <f>IF($C102&gt;H$69,,MIN(H$59,(H$61-(9.8*$C102*(車輪モータの選定!$D$8*COS(RADIANS(車輪モータの選定!$D$10))+SIN(RADIANS(車輪モータの選定!$D$10)))*車輪モータの選定!$D$7*H$62/(2*車輪モータの選定!$D$6)/H$60/H$63))*375/9.8/H102*車輪モータの選定!$D$11))</f>
        <v>1651.1027710069843</v>
      </c>
      <c r="J102" s="118">
        <f>$C102*J$62^2*(1/J$60)^2/車輪モータの選定!$D$6+J$65+J$66</f>
        <v>0.10546</v>
      </c>
      <c r="K102" s="119">
        <f>IF($C102&gt;J$69,,MIN(J$59,(J$61-(9.8*$C102*(車輪モータの選定!$D$8*COS(RADIANS(車輪モータの選定!$D$10))+SIN(RADIANS(車輪モータの選定!$D$10)))*車輪モータの選定!$D$7*J$62/(2*車輪モータの選定!$D$6)/J$60/J$63))*375/9.8/J102*車輪モータの選定!$D$11))</f>
        <v>2000</v>
      </c>
      <c r="L102" s="41">
        <f>$C102*L$62^2*(1/L$60)^2/車輪モータの選定!$D$6+L$65+L$66</f>
        <v>5.2692883656509683E-2</v>
      </c>
      <c r="M102" s="130">
        <f>IF($C102&gt;L$69,,MIN(L$59,(L$61-(9.8*$C102*(車輪モータの選定!$D$8*COS(RADIANS(車輪モータの選定!$D$10))+SIN(RADIANS(車輪モータの選定!$D$10)))*車輪モータの選定!$D$7*L$62/(2*車輪モータの選定!$D$6)/L$60/L$63))*375/9.8/L102*車輪モータの選定!$D$11))</f>
        <v>0</v>
      </c>
      <c r="N102" s="118">
        <f>$C102*N$62^2*(1/N$60)^2/車輪モータの選定!$D$6+N$65+N$66</f>
        <v>8.2257208840179979E-2</v>
      </c>
      <c r="O102" s="119">
        <f>IF($C102&gt;N$69,,MIN(N$59,(N$61-(9.8*$C102*(車輪モータの選定!$D$8*COS(RADIANS(車輪モータの選定!$D$10))+SIN(RADIANS(車輪モータの選定!$D$10)))*車輪モータの選定!$D$7*N$62/(2*車輪モータの選定!$D$6)/N$60/N$63))*375/9.8/N102*車輪モータの選定!$D$11))</f>
        <v>0</v>
      </c>
      <c r="P102" s="41">
        <f>$C102*P$62^2*(1/P$60)^2/車輪モータの選定!$D$6+P$65+P$66</f>
        <v>0.16183357690537334</v>
      </c>
      <c r="Q102" s="119">
        <f>IF($C102&gt;P$69,,MIN(P$59,(P$61-(9.8*$C102*(車輪モータの選定!$D$8*COS(RADIANS(車輪モータの選定!$D$10))+SIN(RADIANS(車輪モータの選定!$D$10)))*車輪モータの選定!$D$7*P$62/(2*車輪モータの選定!$D$6)/P$60/P$63))*375/9.8/P102*車輪モータの選定!$D$11))</f>
        <v>-622.48220802217531</v>
      </c>
    </row>
    <row r="103" spans="3:17" x14ac:dyDescent="0.15">
      <c r="C103" s="127">
        <f t="shared" si="13"/>
        <v>2200</v>
      </c>
      <c r="D103" s="41">
        <f>$C103*D$62^2*(1/D$60)^2/車輪モータの選定!$D$6+D$65+D$66</f>
        <v>4.6723000000000015E-2</v>
      </c>
      <c r="E103" s="130">
        <f>IF($C103&gt;D$69,,MIN(D$59,(D$61-(9.8*$C103*(車輪モータの選定!$D$8*COS(RADIANS(車輪モータの選定!$D$10))+SIN(RADIANS(車輪モータの選定!$D$10)))*車輪モータの選定!$D$7*D$62/(2*車輪モータの選定!$D$6)/D$60/D$63))*375/9.8/D103*車輪モータの選定!$D$11))</f>
        <v>0</v>
      </c>
      <c r="F103" s="118">
        <f>$C103*F$62^2*(1/F$60)^2/車輪モータの選定!$D$6+F$65+F$66</f>
        <v>0.1368944691358025</v>
      </c>
      <c r="G103" s="119">
        <f>IF($C103&gt;F$69,,MIN(F$59,(F$61-(9.8*$C103*(車輪モータの選定!$D$8*COS(RADIANS(車輪モータの選定!$D$10))+SIN(RADIANS(車輪モータの選定!$D$10)))*車輪モータの選定!$D$7*F$62/(2*車輪モータの選定!$D$6)/F$60/F$63))*375/9.8/F103*車輪モータの選定!$D$11))</f>
        <v>0</v>
      </c>
      <c r="H103" s="41">
        <f>$C103*H$62^2*(1/H$60)^2/車輪モータの選定!$D$6+H$65+H$66</f>
        <v>6.813555555555556E-2</v>
      </c>
      <c r="I103" s="130">
        <f>IF($C103&gt;H$69,,MIN(H$59,(H$61-(9.8*$C103*(車輪モータの選定!$D$8*COS(RADIANS(車輪モータの選定!$D$10))+SIN(RADIANS(車輪モータの選定!$D$10)))*車輪モータの選定!$D$7*H$62/(2*車輪モータの選定!$D$6)/H$60/H$63))*375/9.8/H103*車輪モータの選定!$D$11))</f>
        <v>1255.1797257790474</v>
      </c>
      <c r="J103" s="118">
        <f>$C103*J$62^2*(1/J$60)^2/車輪モータの選定!$D$6+J$65+J$66</f>
        <v>0.11546000000000001</v>
      </c>
      <c r="K103" s="119">
        <f>IF($C103&gt;J$69,,MIN(J$59,(J$61-(9.8*$C103*(車輪モータの選定!$D$8*COS(RADIANS(車輪モータの選定!$D$10))+SIN(RADIANS(車輪モータの選定!$D$10)))*車輪モータの選定!$D$7*J$62/(2*車輪モータの選定!$D$6)/J$60/J$63))*375/9.8/J103*車輪モータの選定!$D$11))</f>
        <v>2000</v>
      </c>
      <c r="L103" s="41">
        <f>$C103*L$62^2*(1/L$60)^2/車輪モータの選定!$D$6+L$65+L$66</f>
        <v>5.7930072022160647E-2</v>
      </c>
      <c r="M103" s="130">
        <f>IF($C103&gt;L$69,,MIN(L$59,(L$61-(9.8*$C103*(車輪モータの選定!$D$8*COS(RADIANS(車輪モータの選定!$D$10))+SIN(RADIANS(車輪モータの選定!$D$10)))*車輪モータの選定!$D$7*L$62/(2*車輪モータの選定!$D$6)/L$60/L$63))*375/9.8/L103*車輪モータの選定!$D$11))</f>
        <v>0</v>
      </c>
      <c r="N103" s="118">
        <f>$C103*N$62^2*(1/N$60)^2/車輪モータの選定!$D$6+N$65+N$66</f>
        <v>9.042239972419798E-2</v>
      </c>
      <c r="O103" s="119">
        <f>IF($C103&gt;N$69,,MIN(N$59,(N$61-(9.8*$C103*(車輪モータの選定!$D$8*COS(RADIANS(車輪モータの選定!$D$10))+SIN(RADIANS(車輪モータの選定!$D$10)))*車輪モータの選定!$D$7*N$62/(2*車輪モータの選定!$D$6)/N$60/N$63))*375/9.8/N103*車輪モータの選定!$D$11))</f>
        <v>0</v>
      </c>
      <c r="P103" s="41">
        <f>$C103*P$62^2*(1/P$60)^2/車輪モータの選定!$D$6+P$65+P$66</f>
        <v>0.17782143459591068</v>
      </c>
      <c r="Q103" s="119">
        <f>IF($C103&gt;P$69,,MIN(P$59,(P$61-(9.8*$C103*(車輪モータの選定!$D$8*COS(RADIANS(車輪モータの選定!$D$10))+SIN(RADIANS(車輪モータの選定!$D$10)))*車輪モータの選定!$D$7*P$62/(2*車輪モータの選定!$D$6)/P$60/P$63))*375/9.8/P103*車輪モータの選定!$D$11))</f>
        <v>-730.76132733446309</v>
      </c>
    </row>
    <row r="104" spans="3:17" x14ac:dyDescent="0.15">
      <c r="C104" s="127">
        <f t="shared" si="13"/>
        <v>2400</v>
      </c>
      <c r="D104" s="41">
        <f>$C104*D$62^2*(1/D$60)^2/車輪モータの選定!$D$6+D$65+D$66</f>
        <v>5.0948000000000014E-2</v>
      </c>
      <c r="E104" s="130">
        <f>IF($C104&gt;D$69,,MIN(D$59,(D$61-(9.8*$C104*(車輪モータの選定!$D$8*COS(RADIANS(車輪モータの選定!$D$10))+SIN(RADIANS(車輪モータの選定!$D$10)))*車輪モータの選定!$D$7*D$62/(2*車輪モータの選定!$D$6)/D$60/D$63))*375/9.8/D104*車輪モータの選定!$D$11))</f>
        <v>0</v>
      </c>
      <c r="F104" s="118">
        <f>$C104*F$62^2*(1/F$60)^2/車輪モータの選定!$D$6+F$65+F$66</f>
        <v>0.14924014814814818</v>
      </c>
      <c r="G104" s="119">
        <f>IF($C104&gt;F$69,,MIN(F$59,(F$61-(9.8*$C104*(車輪モータの選定!$D$8*COS(RADIANS(車輪モータの選定!$D$10))+SIN(RADIANS(車輪モータの選定!$D$10)))*車輪モータの選定!$D$7*F$62/(2*車輪モータの選定!$D$6)/F$60/F$63))*375/9.8/F104*車輪モータの選定!$D$11))</f>
        <v>0</v>
      </c>
      <c r="H104" s="41">
        <f>$C104*H$62^2*(1/H$60)^2/車輪モータの選定!$D$6+H$65+H$66</f>
        <v>7.4013333333333334E-2</v>
      </c>
      <c r="I104" s="130">
        <f>IF($C104&gt;H$69,,MIN(H$59,(H$61-(9.8*$C104*(車輪モータの選定!$D$8*COS(RADIANS(車輪モータの選定!$D$10))+SIN(RADIANS(車輪モータの選定!$D$10)))*車輪モータの選定!$D$7*H$62/(2*車輪モータの選定!$D$6)/H$60/H$63))*375/9.8/H104*車輪モータの選定!$D$11))</f>
        <v>922.14123316192456</v>
      </c>
      <c r="J104" s="118">
        <f>$C104*J$62^2*(1/J$60)^2/車輪モータの選定!$D$6+J$65+J$66</f>
        <v>0.12545999999999999</v>
      </c>
      <c r="K104" s="119">
        <f>IF($C104&gt;J$69,,MIN(J$59,(J$61-(9.8*$C104*(車輪モータの選定!$D$8*COS(RADIANS(車輪モータの選定!$D$10))+SIN(RADIANS(車輪モータの選定!$D$10)))*車輪モータの選定!$D$7*J$62/(2*車輪モータの選定!$D$6)/J$60/J$63))*375/9.8/J104*車輪モータの選定!$D$11))</f>
        <v>2000</v>
      </c>
      <c r="L104" s="41">
        <f>$C104*L$62^2*(1/L$60)^2/車輪モータの選定!$D$6+L$65+L$66</f>
        <v>6.3167260387811633E-2</v>
      </c>
      <c r="M104" s="130">
        <f>IF($C104&gt;L$69,,MIN(L$59,(L$61-(9.8*$C104*(車輪モータの選定!$D$8*COS(RADIANS(車輪モータの選定!$D$10))+SIN(RADIANS(車輪モータの選定!$D$10)))*車輪モータの選定!$D$7*L$62/(2*車輪モータの選定!$D$6)/L$60/L$63))*375/9.8/L104*車輪モータの選定!$D$11))</f>
        <v>0</v>
      </c>
      <c r="N104" s="118">
        <f>$C104*N$62^2*(1/N$60)^2/車輪モータの選定!$D$6+N$65+N$66</f>
        <v>9.8587590608215966E-2</v>
      </c>
      <c r="O104" s="119">
        <f>IF($C104&gt;N$69,,MIN(N$59,(N$61-(9.8*$C104*(車輪モータの選定!$D$8*COS(RADIANS(車輪モータの選定!$D$10))+SIN(RADIANS(車輪モータの選定!$D$10)))*車輪モータの選定!$D$7*N$62/(2*車輪モータの選定!$D$6)/N$60/N$63))*375/9.8/N104*車輪モータの選定!$D$11))</f>
        <v>0</v>
      </c>
      <c r="P104" s="41">
        <f>$C104*P$62^2*(1/P$60)^2/車輪モータの選定!$D$6+P$65+P$66</f>
        <v>0.193809292286448</v>
      </c>
      <c r="Q104" s="119">
        <f>IF($C104&gt;P$69,,MIN(P$59,(P$61-(9.8*$C104*(車輪モータの選定!$D$8*COS(RADIANS(車輪モータの選定!$D$10))+SIN(RADIANS(車輪モータの選定!$D$10)))*車輪モータの選定!$D$7*P$62/(2*車輪モータの選定!$D$6)/P$60/P$63))*375/9.8/P104*車輪モータの選定!$D$11))</f>
        <v>-821.17596625988801</v>
      </c>
    </row>
    <row r="105" spans="3:17" x14ac:dyDescent="0.15">
      <c r="C105" s="127">
        <f t="shared" si="13"/>
        <v>2600</v>
      </c>
      <c r="D105" s="41">
        <f>$C105*D$62^2*(1/D$60)^2/車輪モータの選定!$D$6+D$65+D$66</f>
        <v>5.5173000000000014E-2</v>
      </c>
      <c r="E105" s="130">
        <f>IF($C105&gt;D$69,,MIN(D$59,(D$61-(9.8*$C105*(車輪モータの選定!$D$8*COS(RADIANS(車輪モータの選定!$D$10))+SIN(RADIANS(車輪モータの選定!$D$10)))*車輪モータの選定!$D$7*D$62/(2*車輪モータの選定!$D$6)/D$60/D$63))*375/9.8/D105*車輪モータの選定!$D$11))</f>
        <v>0</v>
      </c>
      <c r="F105" s="118">
        <f>$C105*F$62^2*(1/F$60)^2/車輪モータの選定!$D$6+F$65+F$66</f>
        <v>0.16158582716049386</v>
      </c>
      <c r="G105" s="119">
        <f>IF($C105&gt;F$69,,MIN(F$59,(F$61-(9.8*$C105*(車輪モータの選定!$D$8*COS(RADIANS(車輪モータの選定!$D$10))+SIN(RADIANS(車輪モータの選定!$D$10)))*車輪モータの選定!$D$7*F$62/(2*車輪モータの選定!$D$6)/F$60/F$63))*375/9.8/F105*車輪モータの選定!$D$11))</f>
        <v>0</v>
      </c>
      <c r="H105" s="41">
        <f>$C105*H$62^2*(1/H$60)^2/車輪モータの選定!$D$6+H$65+H$66</f>
        <v>7.9891111111111121E-2</v>
      </c>
      <c r="I105" s="130">
        <f>IF($C105&gt;H$69,,MIN(H$59,(H$61-(9.8*$C105*(車輪モータの選定!$D$8*COS(RADIANS(車輪モータの選定!$D$10))+SIN(RADIANS(車輪モータの選定!$D$10)))*車輪モータの選定!$D$7*H$62/(2*車輪モータの選定!$D$6)/H$60/H$63))*375/9.8/H105*車輪モータの選定!$D$11))</f>
        <v>638.10759787685197</v>
      </c>
      <c r="J105" s="118">
        <f>$C105*J$62^2*(1/J$60)^2/車輪モータの選定!$D$6+J$65+J$66</f>
        <v>0.13546</v>
      </c>
      <c r="K105" s="119">
        <f>IF($C105&gt;J$69,,MIN(J$59,(J$61-(9.8*$C105*(車輪モータの選定!$D$8*COS(RADIANS(車輪モータの選定!$D$10))+SIN(RADIANS(車輪モータの選定!$D$10)))*車輪モータの選定!$D$7*J$62/(2*車輪モータの選定!$D$6)/J$60/J$63))*375/9.8/J105*車輪モータの選定!$D$11))</f>
        <v>2000</v>
      </c>
      <c r="L105" s="41">
        <f>$C105*L$62^2*(1/L$60)^2/車輪モータの選定!$D$6+L$65+L$66</f>
        <v>6.8404448753462604E-2</v>
      </c>
      <c r="M105" s="130">
        <f>IF($C105&gt;L$69,,MIN(L$59,(L$61-(9.8*$C105*(車輪モータの選定!$D$8*COS(RADIANS(車輪モータの選定!$D$10))+SIN(RADIANS(車輪モータの選定!$D$10)))*車輪モータの選定!$D$7*L$62/(2*車輪モータの選定!$D$6)/L$60/L$63))*375/9.8/L105*車輪モータの選定!$D$11))</f>
        <v>0</v>
      </c>
      <c r="N105" s="118">
        <f>$C105*N$62^2*(1/N$60)^2/車輪モータの選定!$D$6+N$65+N$66</f>
        <v>0.10675278149223397</v>
      </c>
      <c r="O105" s="119">
        <f>IF($C105&gt;N$69,,MIN(N$59,(N$61-(9.8*$C105*(車輪モータの選定!$D$8*COS(RADIANS(車輪モータの選定!$D$10))+SIN(RADIANS(車輪モータの選定!$D$10)))*車輪モータの選定!$D$7*N$62/(2*車輪モータの選定!$D$6)/N$60/N$63))*375/9.8/N105*車輪モータの選定!$D$11))</f>
        <v>0</v>
      </c>
      <c r="P105" s="41">
        <f>$C105*P$62^2*(1/P$60)^2/車輪モータの選定!$D$6+P$65+P$66</f>
        <v>0.20979714997698537</v>
      </c>
      <c r="Q105" s="119">
        <f>IF($C105&gt;P$69,,MIN(P$59,(P$61-(9.8*$C105*(車輪モータの選定!$D$8*COS(RADIANS(車輪モータの選定!$D$10))+SIN(RADIANS(車輪モータの選定!$D$10)))*車輪モータの選定!$D$7*P$62/(2*車輪モータの選定!$D$6)/P$60/P$63))*375/9.8/P105*車輪モータの選定!$D$11))</f>
        <v>0</v>
      </c>
    </row>
    <row r="106" spans="3:17" x14ac:dyDescent="0.15">
      <c r="C106" s="127">
        <f t="shared" si="13"/>
        <v>2800</v>
      </c>
      <c r="D106" s="41">
        <f>$C106*D$62^2*(1/D$60)^2/車輪モータの選定!$D$6+D$65+D$66</f>
        <v>5.939800000000002E-2</v>
      </c>
      <c r="E106" s="130">
        <f>IF($C106&gt;D$69,,MIN(D$59,(D$61-(9.8*$C106*(車輪モータの選定!$D$8*COS(RADIANS(車輪モータの選定!$D$10))+SIN(RADIANS(車輪モータの選定!$D$10)))*車輪モータの選定!$D$7*D$62/(2*車輪モータの選定!$D$6)/D$60/D$63))*375/9.8/D106*車輪モータの選定!$D$11))</f>
        <v>0</v>
      </c>
      <c r="F106" s="118">
        <f>$C106*F$62^2*(1/F$60)^2/車輪モータの選定!$D$6+F$65+F$66</f>
        <v>0.17393150617283956</v>
      </c>
      <c r="G106" s="119">
        <f>IF($C106&gt;F$69,,MIN(F$59,(F$61-(9.8*$C106*(車輪モータの選定!$D$8*COS(RADIANS(車輪モータの選定!$D$10))+SIN(RADIANS(車輪モータの選定!$D$10)))*車輪モータの選定!$D$7*F$62/(2*車輪モータの選定!$D$6)/F$60/F$63))*375/9.8/F106*車輪モータの選定!$D$11))</f>
        <v>0</v>
      </c>
      <c r="H106" s="41">
        <f>$C106*H$62^2*(1/H$60)^2/車輪モータの選定!$D$6+H$65+H$66</f>
        <v>8.5768888888888895E-2</v>
      </c>
      <c r="I106" s="130">
        <f>IF($C106&gt;H$69,,MIN(H$59,(H$61-(9.8*$C106*(車輪モータの選定!$D$8*COS(RADIANS(車輪モータの選定!$D$10))+SIN(RADIANS(車輪モータの選定!$D$10)))*車輪モータの選定!$D$7*H$62/(2*車輪モータの選定!$D$6)/H$60/H$63))*375/9.8/H106*車輪モータの選定!$D$11))</f>
        <v>393.00384990285141</v>
      </c>
      <c r="J106" s="118">
        <f>$C106*J$62^2*(1/J$60)^2/車輪モータの選定!$D$6+J$65+J$66</f>
        <v>0.14546000000000001</v>
      </c>
      <c r="K106" s="119">
        <f>IF($C106&gt;J$69,,MIN(J$59,(J$61-(9.8*$C106*(車輪モータの選定!$D$8*COS(RADIANS(車輪モータの選定!$D$10))+SIN(RADIANS(車輪モータの選定!$D$10)))*車輪モータの選定!$D$7*J$62/(2*車輪モータの選定!$D$6)/J$60/J$63))*375/9.8/J106*車輪モータの選定!$D$11))</f>
        <v>2000</v>
      </c>
      <c r="L106" s="41">
        <f>$C106*L$62^2*(1/L$60)^2/車輪モータの選定!$D$6+L$65+L$66</f>
        <v>7.3641637119113562E-2</v>
      </c>
      <c r="M106" s="130">
        <f>IF($C106&gt;L$69,,MIN(L$59,(L$61-(9.8*$C106*(車輪モータの選定!$D$8*COS(RADIANS(車輪モータの選定!$D$10))+SIN(RADIANS(車輪モータの選定!$D$10)))*車輪モータの選定!$D$7*L$62/(2*車輪モータの選定!$D$6)/L$60/L$63))*375/9.8/L106*車輪モータの選定!$D$11))</f>
        <v>0</v>
      </c>
      <c r="N106" s="118">
        <f>$C106*N$62^2*(1/N$60)^2/車輪モータの選定!$D$6+N$65+N$66</f>
        <v>0.11491797237625197</v>
      </c>
      <c r="O106" s="119">
        <f>IF($C106&gt;N$69,,MIN(N$59,(N$61-(9.8*$C106*(車輪モータの選定!$D$8*COS(RADIANS(車輪モータの選定!$D$10))+SIN(RADIANS(車輪モータの選定!$D$10)))*車輪モータの選定!$D$7*N$62/(2*車輪モータの選定!$D$6)/N$60/N$63))*375/9.8/N106*車輪モータの選定!$D$11))</f>
        <v>0</v>
      </c>
      <c r="P106" s="41">
        <f>$C106*P$62^2*(1/P$60)^2/車輪モータの選定!$D$6+P$65+P$66</f>
        <v>0.22578500766752266</v>
      </c>
      <c r="Q106" s="119">
        <f>IF($C106&gt;P$69,,MIN(P$59,(P$61-(9.8*$C106*(車輪モータの選定!$D$8*COS(RADIANS(車輪モータの選定!$D$10))+SIN(RADIANS(車輪モータの選定!$D$10)))*車輪モータの選定!$D$7*P$62/(2*車輪モータの選定!$D$6)/P$60/P$63))*375/9.8/P106*車輪モータの選定!$D$11))</f>
        <v>0</v>
      </c>
    </row>
    <row r="107" spans="3:17" x14ac:dyDescent="0.15">
      <c r="C107" s="127">
        <f t="shared" si="13"/>
        <v>3000</v>
      </c>
      <c r="D107" s="41">
        <f>$C107*D$62^2*(1/D$60)^2/車輪モータの選定!$D$6+D$65+D$66</f>
        <v>6.3623000000000013E-2</v>
      </c>
      <c r="E107" s="130">
        <f>IF($C107&gt;D$69,,MIN(D$59,(D$61-(9.8*$C107*(車輪モータの選定!$D$8*COS(RADIANS(車輪モータの選定!$D$10))+SIN(RADIANS(車輪モータの選定!$D$10)))*車輪モータの選定!$D$7*D$62/(2*車輪モータの選定!$D$6)/D$60/D$63))*375/9.8/D107*車輪モータの選定!$D$11))</f>
        <v>0</v>
      </c>
      <c r="F107" s="118">
        <f>$C107*F$62^2*(1/F$60)^2/車輪モータの選定!$D$6+F$65+F$66</f>
        <v>0.18627718518518524</v>
      </c>
      <c r="G107" s="119">
        <f>IF($C107&gt;F$69,,MIN(F$59,(F$61-(9.8*$C107*(車輪モータの選定!$D$8*COS(RADIANS(車輪モータの選定!$D$10))+SIN(RADIANS(車輪モータの選定!$D$10)))*車輪モータの選定!$D$7*F$62/(2*車輪モータの選定!$D$6)/F$60/F$63))*375/9.8/F107*車輪モータの選定!$D$11))</f>
        <v>0</v>
      </c>
      <c r="H107" s="41">
        <f>$C107*H$62^2*(1/H$60)^2/車輪モータの選定!$D$6+H$65+H$66</f>
        <v>9.1646666666666668E-2</v>
      </c>
      <c r="I107" s="130">
        <f>IF($C107&gt;H$69,,MIN(H$59,(H$61-(9.8*$C107*(車輪モータの選定!$D$8*COS(RADIANS(車輪モータの選定!$D$10))+SIN(RADIANS(車輪モータの選定!$D$10)))*車輪モータの選定!$D$7*H$62/(2*車輪モータの選定!$D$6)/H$60/H$63))*375/9.8/H107*車輪モータの選定!$D$11))</f>
        <v>179.33966029994784</v>
      </c>
      <c r="J107" s="118">
        <f>$C107*J$62^2*(1/J$60)^2/車輪モータの選定!$D$6+J$65+J$66</f>
        <v>0.15545999999999999</v>
      </c>
      <c r="K107" s="119">
        <f>IF($C107&gt;J$69,,MIN(J$59,(J$61-(9.8*$C107*(車輪モータの選定!$D$8*COS(RADIANS(車輪モータの選定!$D$10))+SIN(RADIANS(車輪モータの選定!$D$10)))*車輪モータの選定!$D$7*J$62/(2*車輪モータの選定!$D$6)/J$60/J$63))*375/9.8/J107*車輪モータの選定!$D$11))</f>
        <v>2000</v>
      </c>
      <c r="L107" s="41">
        <f>$C107*L$62^2*(1/L$60)^2/車輪モータの選定!$D$6+L$65+L$66</f>
        <v>7.8878825484764534E-2</v>
      </c>
      <c r="M107" s="130">
        <f>IF($C107&gt;L$69,,MIN(L$59,(L$61-(9.8*$C107*(車輪モータの選定!$D$8*COS(RADIANS(車輪モータの選定!$D$10))+SIN(RADIANS(車輪モータの選定!$D$10)))*車輪モータの選定!$D$7*L$62/(2*車輪モータの選定!$D$6)/L$60/L$63))*375/9.8/L107*車輪モータの選定!$D$11))</f>
        <v>0</v>
      </c>
      <c r="N107" s="118">
        <f>$C107*N$62^2*(1/N$60)^2/車輪モータの選定!$D$6+N$65+N$66</f>
        <v>0.12308316326026997</v>
      </c>
      <c r="O107" s="119">
        <f>IF($C107&gt;N$69,,MIN(N$59,(N$61-(9.8*$C107*(車輪モータの選定!$D$8*COS(RADIANS(車輪モータの選定!$D$10))+SIN(RADIANS(車輪モータの選定!$D$10)))*車輪モータの選定!$D$7*N$62/(2*車輪モータの選定!$D$6)/N$60/N$63))*375/9.8/N107*車輪モータの選定!$D$11))</f>
        <v>0</v>
      </c>
      <c r="P107" s="41">
        <f>$C107*P$62^2*(1/P$60)^2/車輪モータの選定!$D$6+P$65+P$66</f>
        <v>0.24177286535806003</v>
      </c>
      <c r="Q107" s="119">
        <f>IF($C107&gt;P$69,,MIN(P$59,(P$61-(9.8*$C107*(車輪モータの選定!$D$8*COS(RADIANS(車輪モータの選定!$D$10))+SIN(RADIANS(車輪モータの選定!$D$10)))*車輪モータの選定!$D$7*P$62/(2*車輪モータの選定!$D$6)/P$60/P$63))*375/9.8/P107*車輪モータの選定!$D$11))</f>
        <v>0</v>
      </c>
    </row>
    <row r="108" spans="3:17" x14ac:dyDescent="0.15">
      <c r="C108" s="127">
        <f t="shared" si="13"/>
        <v>3200</v>
      </c>
      <c r="D108" s="41">
        <f>$C108*D$62^2*(1/D$60)^2/車輪モータの選定!$D$6+D$65+D$66</f>
        <v>6.7848000000000019E-2</v>
      </c>
      <c r="E108" s="130">
        <f>IF($C108&gt;D$69,,MIN(D$59,(D$61-(9.8*$C108*(車輪モータの選定!$D$8*COS(RADIANS(車輪モータの選定!$D$10))+SIN(RADIANS(車輪モータの選定!$D$10)))*車輪モータの選定!$D$7*D$62/(2*車輪モータの選定!$D$6)/D$60/D$63))*375/9.8/D108*車輪モータの選定!$D$11))</f>
        <v>0</v>
      </c>
      <c r="F108" s="118">
        <f>$C108*F$62^2*(1/F$60)^2/車輪モータの選定!$D$6+F$65+F$66</f>
        <v>0.19862286419753092</v>
      </c>
      <c r="G108" s="119">
        <f>IF($C108&gt;F$69,,MIN(F$59,(F$61-(9.8*$C108*(車輪モータの選定!$D$8*COS(RADIANS(車輪モータの選定!$D$10))+SIN(RADIANS(車輪モータの選定!$D$10)))*車輪モータの選定!$D$7*F$62/(2*車輪モータの選定!$D$6)/F$60/F$63))*375/9.8/F108*車輪モータの選定!$D$11))</f>
        <v>0</v>
      </c>
      <c r="H108" s="41">
        <f>$C108*H$62^2*(1/H$60)^2/車輪モータの選定!$D$6+H$65+H$66</f>
        <v>9.7524444444444441E-2</v>
      </c>
      <c r="I108" s="130">
        <f>IF($C108&gt;H$69,,MIN(H$59,(H$61-(9.8*$C108*(車輪モータの選定!$D$8*COS(RADIANS(車輪モータの選定!$D$10))+SIN(RADIANS(車輪モータの選定!$D$10)))*車輪モータの選定!$D$7*H$62/(2*車輪モータの選定!$D$6)/H$60/H$63))*375/9.8/H108*車輪モータの選定!$D$11))</f>
        <v>-8.5695376655464059</v>
      </c>
      <c r="J108" s="118">
        <f>$C108*J$62^2*(1/J$60)^2/車輪モータの選定!$D$6+J$65+J$66</f>
        <v>0.16546</v>
      </c>
      <c r="K108" s="119">
        <f>IF($C108&gt;J$69,,MIN(J$59,(J$61-(9.8*$C108*(車輪モータの選定!$D$8*COS(RADIANS(車輪モータの選定!$D$10))+SIN(RADIANS(車輪モータの選定!$D$10)))*車輪モータの選定!$D$7*J$62/(2*車輪モータの選定!$D$6)/J$60/J$63))*375/9.8/J108*車輪モータの選定!$D$11))</f>
        <v>2000</v>
      </c>
      <c r="L108" s="41">
        <f>$C108*L$62^2*(1/L$60)^2/車輪モータの選定!$D$6+L$65+L$66</f>
        <v>8.4116013850415505E-2</v>
      </c>
      <c r="M108" s="130">
        <f>IF($C108&gt;L$69,,MIN(L$59,(L$61-(9.8*$C108*(車輪モータの選定!$D$8*COS(RADIANS(車輪モータの選定!$D$10))+SIN(RADIANS(車輪モータの選定!$D$10)))*車輪モータの選定!$D$7*L$62/(2*車輪モータの選定!$D$6)/L$60/L$63))*375/9.8/L108*車輪モータの選定!$D$11))</f>
        <v>0</v>
      </c>
      <c r="N108" s="118">
        <f>$C108*N$62^2*(1/N$60)^2/車輪モータの選定!$D$6+N$65+N$66</f>
        <v>0.13124835414428795</v>
      </c>
      <c r="O108" s="119">
        <f>IF($C108&gt;N$69,,MIN(N$59,(N$61-(9.8*$C108*(車輪モータの選定!$D$8*COS(RADIANS(車輪モータの選定!$D$10))+SIN(RADIANS(車輪モータの選定!$D$10)))*車輪モータの選定!$D$7*N$62/(2*車輪モータの選定!$D$6)/N$60/N$63))*375/9.8/N108*車輪モータの選定!$D$11))</f>
        <v>0</v>
      </c>
      <c r="P108" s="41">
        <f>$C108*P$62^2*(1/P$60)^2/車輪モータの選定!$D$6+P$65+P$66</f>
        <v>0.25776072304859732</v>
      </c>
      <c r="Q108" s="119">
        <f>IF($C108&gt;P$69,,MIN(P$59,(P$61-(9.8*$C108*(車輪モータの選定!$D$8*COS(RADIANS(車輪モータの選定!$D$10))+SIN(RADIANS(車輪モータの選定!$D$10)))*車輪モータの選定!$D$7*P$62/(2*車輪モータの選定!$D$6)/P$60/P$63))*375/9.8/P108*車輪モータの選定!$D$11))</f>
        <v>0</v>
      </c>
    </row>
    <row r="109" spans="3:17" x14ac:dyDescent="0.15">
      <c r="C109" s="127">
        <f t="shared" si="13"/>
        <v>3400</v>
      </c>
      <c r="D109" s="41">
        <f>$C109*D$62^2*(1/D$60)^2/車輪モータの選定!$D$6+D$65+D$66</f>
        <v>7.2073000000000026E-2</v>
      </c>
      <c r="E109" s="130">
        <f>IF($C109&gt;D$69,,MIN(D$59,(D$61-(9.8*$C109*(車輪モータの選定!$D$8*COS(RADIANS(車輪モータの選定!$D$10))+SIN(RADIANS(車輪モータの選定!$D$10)))*車輪モータの選定!$D$7*D$62/(2*車輪モータの選定!$D$6)/D$60/D$63))*375/9.8/D109*車輪モータの選定!$D$11))</f>
        <v>0</v>
      </c>
      <c r="F109" s="118">
        <f>$C109*F$62^2*(1/F$60)^2/車輪モータの選定!$D$6+F$65+F$66</f>
        <v>0.2109685432098766</v>
      </c>
      <c r="G109" s="119">
        <f>IF($C109&gt;F$69,,MIN(F$59,(F$61-(9.8*$C109*(車輪モータの選定!$D$8*COS(RADIANS(車輪モータの選定!$D$10))+SIN(RADIANS(車輪モータの選定!$D$10)))*車輪モータの選定!$D$7*F$62/(2*車輪モータの選定!$D$6)/F$60/F$63))*375/9.8/F109*車輪モータの選定!$D$11))</f>
        <v>0</v>
      </c>
      <c r="H109" s="41">
        <f>$C109*H$62^2*(1/H$60)^2/車輪モータの選定!$D$6+H$65+H$66</f>
        <v>0.10340222222222223</v>
      </c>
      <c r="I109" s="130">
        <f>IF($C109&gt;H$69,,MIN(H$59,(H$61-(9.8*$C109*(車輪モータの選定!$D$8*COS(RADIANS(車輪モータの選定!$D$10))+SIN(RADIANS(車輪モータの選定!$D$10)))*車輪モータの選定!$D$7*H$62/(2*車輪モータの選定!$D$6)/H$60/H$63))*375/9.8/H109*車輪モータの選定!$D$11))</f>
        <v>0</v>
      </c>
      <c r="J109" s="118">
        <f>$C109*J$62^2*(1/J$60)^2/車輪モータの選定!$D$6+J$65+J$66</f>
        <v>0.17546</v>
      </c>
      <c r="K109" s="119">
        <f>IF($C109&gt;J$69,,MIN(J$59,(J$61-(9.8*$C109*(車輪モータの選定!$D$8*COS(RADIANS(車輪モータの選定!$D$10))+SIN(RADIANS(車輪モータの選定!$D$10)))*車輪モータの選定!$D$7*J$62/(2*車輪モータの選定!$D$6)/J$60/J$63))*375/9.8/J109*車輪モータの選定!$D$11))</f>
        <v>2000</v>
      </c>
      <c r="L109" s="41">
        <f>$C109*L$62^2*(1/L$60)^2/車輪モータの選定!$D$6+L$65+L$66</f>
        <v>8.9353202216066477E-2</v>
      </c>
      <c r="M109" s="130">
        <f>IF($C109&gt;L$69,,MIN(L$59,(L$61-(9.8*$C109*(車輪モータの選定!$D$8*COS(RADIANS(車輪モータの選定!$D$10))+SIN(RADIANS(車輪モータの選定!$D$10)))*車輪モータの選定!$D$7*L$62/(2*車輪モータの選定!$D$6)/L$60/L$63))*375/9.8/L109*車輪モータの選定!$D$11))</f>
        <v>0</v>
      </c>
      <c r="N109" s="118">
        <f>$C109*N$62^2*(1/N$60)^2/車輪モータの選定!$D$6+N$65+N$66</f>
        <v>0.13941354502830597</v>
      </c>
      <c r="O109" s="119">
        <f>IF($C109&gt;N$69,,MIN(N$59,(N$61-(9.8*$C109*(車輪モータの選定!$D$8*COS(RADIANS(車輪モータの選定!$D$10))+SIN(RADIANS(車輪モータの選定!$D$10)))*車輪モータの選定!$D$7*N$62/(2*車輪モータの選定!$D$6)/N$60/N$63))*375/9.8/N109*車輪モータの選定!$D$11))</f>
        <v>0</v>
      </c>
      <c r="P109" s="41">
        <f>$C109*P$62^2*(1/P$60)^2/車輪モータの選定!$D$6+P$65+P$66</f>
        <v>0.27374858073913466</v>
      </c>
      <c r="Q109" s="119">
        <f>IF($C109&gt;P$69,,MIN(P$59,(P$61-(9.8*$C109*(車輪モータの選定!$D$8*COS(RADIANS(車輪モータの選定!$D$10))+SIN(RADIANS(車輪モータの選定!$D$10)))*車輪モータの選定!$D$7*P$62/(2*車輪モータの選定!$D$6)/P$60/P$63))*375/9.8/P109*車輪モータの選定!$D$11))</f>
        <v>0</v>
      </c>
    </row>
    <row r="110" spans="3:17" x14ac:dyDescent="0.15">
      <c r="C110" s="127">
        <f t="shared" si="13"/>
        <v>3600</v>
      </c>
      <c r="D110" s="41">
        <f>$C110*D$62^2*(1/D$60)^2/車輪モータの選定!$D$6+D$65+D$66</f>
        <v>7.6298000000000019E-2</v>
      </c>
      <c r="E110" s="130">
        <f>IF($C110&gt;D$69,,MIN(D$59,(D$61-(9.8*$C110*(車輪モータの選定!$D$8*COS(RADIANS(車輪モータの選定!$D$10))+SIN(RADIANS(車輪モータの選定!$D$10)))*車輪モータの選定!$D$7*D$62/(2*車輪モータの選定!$D$6)/D$60/D$63))*375/9.8/D110*車輪モータの選定!$D$11))</f>
        <v>0</v>
      </c>
      <c r="F110" s="118">
        <f>$C110*F$62^2*(1/F$60)^2/車輪モータの選定!$D$6+F$65+F$66</f>
        <v>0.22331422222222228</v>
      </c>
      <c r="G110" s="119">
        <f>IF($C110&gt;F$69,,MIN(F$59,(F$61-(9.8*$C110*(車輪モータの選定!$D$8*COS(RADIANS(車輪モータの選定!$D$10))+SIN(RADIANS(車輪モータの選定!$D$10)))*車輪モータの選定!$D$7*F$62/(2*車輪モータの選定!$D$6)/F$60/F$63))*375/9.8/F110*車輪モータの選定!$D$11))</f>
        <v>0</v>
      </c>
      <c r="H110" s="41">
        <f>$C110*H$62^2*(1/H$60)^2/車輪モータの選定!$D$6+H$65+H$66</f>
        <v>0.10928</v>
      </c>
      <c r="I110" s="130">
        <f>IF($C110&gt;H$69,,MIN(H$59,(H$61-(9.8*$C110*(車輪モータの選定!$D$8*COS(RADIANS(車輪モータの選定!$D$10))+SIN(RADIANS(車輪モータの選定!$D$10)))*車輪モータの選定!$D$7*H$62/(2*車輪モータの選定!$D$6)/H$60/H$63))*375/9.8/H110*車輪モータの選定!$D$11))</f>
        <v>0</v>
      </c>
      <c r="J110" s="118">
        <f>$C110*J$62^2*(1/J$60)^2/車輪モータの選定!$D$6+J$65+J$66</f>
        <v>0.18545999999999999</v>
      </c>
      <c r="K110" s="119">
        <f>IF($C110&gt;J$69,,MIN(J$59,(J$61-(9.8*$C110*(車輪モータの選定!$D$8*COS(RADIANS(車輪モータの選定!$D$10))+SIN(RADIANS(車輪モータの選定!$D$10)))*車輪モータの選定!$D$7*J$62/(2*車輪モータの選定!$D$6)/J$60/J$63))*375/9.8/J110*車輪モータの選定!$D$11))</f>
        <v>1891.0433417022587</v>
      </c>
      <c r="L110" s="41">
        <f>$C110*L$62^2*(1/L$60)^2/車輪モータの選定!$D$6+L$65+L$66</f>
        <v>9.4590390581717448E-2</v>
      </c>
      <c r="M110" s="130">
        <f>IF($C110&gt;L$69,,MIN(L$59,(L$61-(9.8*$C110*(車輪モータの選定!$D$8*COS(RADIANS(車輪モータの選定!$D$10))+SIN(RADIANS(車輪モータの選定!$D$10)))*車輪モータの選定!$D$7*L$62/(2*車輪モータの選定!$D$6)/L$60/L$63))*375/9.8/L110*車輪モータの選定!$D$11))</f>
        <v>0</v>
      </c>
      <c r="N110" s="118">
        <f>$C110*N$62^2*(1/N$60)^2/車輪モータの選定!$D$6+N$65+N$66</f>
        <v>0.14757873591232396</v>
      </c>
      <c r="O110" s="119">
        <f>IF($C110&gt;N$69,,MIN(N$59,(N$61-(9.8*$C110*(車輪モータの選定!$D$8*COS(RADIANS(車輪モータの選定!$D$10))+SIN(RADIANS(車輪モータの選定!$D$10)))*車輪モータの選定!$D$7*N$62/(2*車輪モータの選定!$D$6)/N$60/N$63))*375/9.8/N110*車輪モータの選定!$D$11))</f>
        <v>0</v>
      </c>
      <c r="P110" s="41">
        <f>$C110*P$62^2*(1/P$60)^2/車輪モータの選定!$D$6+P$65+P$66</f>
        <v>0.28973643842967195</v>
      </c>
      <c r="Q110" s="119">
        <f>IF($C110&gt;P$69,,MIN(P$59,(P$61-(9.8*$C110*(車輪モータの選定!$D$8*COS(RADIANS(車輪モータの選定!$D$10))+SIN(RADIANS(車輪モータの選定!$D$10)))*車輪モータの選定!$D$7*P$62/(2*車輪モータの選定!$D$6)/P$60/P$63))*375/9.8/P110*車輪モータの選定!$D$11))</f>
        <v>0</v>
      </c>
    </row>
    <row r="111" spans="3:17" x14ac:dyDescent="0.15">
      <c r="C111" s="127">
        <f>C110+C$84*4</f>
        <v>4000</v>
      </c>
      <c r="D111" s="41">
        <f>$C111*D$62^2*(1/D$60)^2/車輪モータの選定!$D$6+D$65+D$66</f>
        <v>8.4748000000000032E-2</v>
      </c>
      <c r="E111" s="130">
        <f>IF($C111&gt;D$69,,MIN(D$59,(D$61-(9.8*$C111*(車輪モータの選定!$D$8*COS(RADIANS(車輪モータの選定!$D$10))+SIN(RADIANS(車輪モータの選定!$D$10)))*車輪モータの選定!$D$7*D$62/(2*車輪モータの選定!$D$6)/D$60/D$63))*375/9.8/D111*車輪モータの選定!$D$11))</f>
        <v>0</v>
      </c>
      <c r="F111" s="118">
        <f>$C111*F$62^2*(1/F$60)^2/車輪モータの選定!$D$6+F$65+F$66</f>
        <v>0.24800558024691363</v>
      </c>
      <c r="G111" s="119">
        <f>IF($C111&gt;F$69,,MIN(F$59,(F$61-(9.8*$C111*(車輪モータの選定!$D$8*COS(RADIANS(車輪モータの選定!$D$10))+SIN(RADIANS(車輪モータの選定!$D$10)))*車輪モータの選定!$D$7*F$62/(2*車輪モータの選定!$D$6)/F$60/F$63))*375/9.8/F111*車輪モータの選定!$D$11))</f>
        <v>0</v>
      </c>
      <c r="H111" s="41">
        <f>$C111*H$62^2*(1/H$60)^2/車輪モータの選定!$D$6+H$65+H$66</f>
        <v>0.12103555555555556</v>
      </c>
      <c r="I111" s="130">
        <f>IF($C111&gt;H$69,,MIN(H$59,(H$61-(9.8*$C111*(車輪モータの選定!$D$8*COS(RADIANS(車輪モータの選定!$D$10))+SIN(RADIANS(車輪モータの選定!$D$10)))*車輪モータの選定!$D$7*H$62/(2*車輪モータの選定!$D$6)/H$60/H$63))*375/9.8/H111*車輪モータの選定!$D$11))</f>
        <v>0</v>
      </c>
      <c r="J111" s="118">
        <f>$C111*J$62^2*(1/J$60)^2/車輪モータの選定!$D$6+J$65+J$66</f>
        <v>0.20546</v>
      </c>
      <c r="K111" s="119">
        <f>IF($C111&gt;J$69,,MIN(J$59,(J$61-(9.8*$C111*(車輪モータの選定!$D$8*COS(RADIANS(車輪モータの選定!$D$10))+SIN(RADIANS(車輪モータの選定!$D$10)))*車輪モータの選定!$D$7*J$62/(2*車輪モータの選定!$D$6)/J$60/J$63))*375/9.8/J111*車輪モータの選定!$D$11))</f>
        <v>1507.3810384058231</v>
      </c>
      <c r="L111" s="41">
        <f>$C111*L$62^2*(1/L$60)^2/車輪モータの選定!$D$6+L$65+L$66</f>
        <v>0.10506476731301938</v>
      </c>
      <c r="M111" s="130">
        <f>IF($C111&gt;L$69,,MIN(L$59,(L$61-(9.8*$C111*(車輪モータの選定!$D$8*COS(RADIANS(車輪モータの選定!$D$10))+SIN(RADIANS(車輪モータの選定!$D$10)))*車輪モータの選定!$D$7*L$62/(2*車輪モータの選定!$D$6)/L$60/L$63))*375/9.8/L111*車輪モータの選定!$D$11))</f>
        <v>0</v>
      </c>
      <c r="N111" s="118">
        <f>$C111*N$62^2*(1/N$60)^2/車輪モータの選定!$D$6+N$65+N$66</f>
        <v>0.16390911768035996</v>
      </c>
      <c r="O111" s="119">
        <f>IF($C111&gt;N$69,,MIN(N$59,(N$61-(9.8*$C111*(車輪モータの選定!$D$8*COS(RADIANS(車輪モータの選定!$D$10))+SIN(RADIANS(車輪モータの選定!$D$10)))*車輪モータの選定!$D$7*N$62/(2*車輪モータの選定!$D$6)/N$60/N$63))*375/9.8/N111*車輪モータの選定!$D$11))</f>
        <v>0</v>
      </c>
      <c r="P111" s="41">
        <f>$C111*P$62^2*(1/P$60)^2/車輪モータの選定!$D$6+P$65+P$66</f>
        <v>0.32171215381074664</v>
      </c>
      <c r="Q111" s="119">
        <f>IF($C111&gt;P$69,,MIN(P$59,(P$61-(9.8*$C111*(車輪モータの選定!$D$8*COS(RADIANS(車輪モータの選定!$D$10))+SIN(RADIANS(車輪モータの選定!$D$10)))*車輪モータの選定!$D$7*P$62/(2*車輪モータの選定!$D$6)/P$60/P$63))*375/9.8/P111*車輪モータの選定!$D$11))</f>
        <v>0</v>
      </c>
    </row>
    <row r="112" spans="3:17" x14ac:dyDescent="0.15">
      <c r="C112" s="127">
        <f t="shared" ref="C112:C114" si="14">C111+C$84*4</f>
        <v>4400</v>
      </c>
      <c r="D112" s="41">
        <f>$C112*D$62^2*(1/D$60)^2/車輪モータの選定!$D$6+D$65+D$66</f>
        <v>9.3198000000000031E-2</v>
      </c>
      <c r="E112" s="130">
        <f>IF($C112&gt;D$69,,MIN(D$59,(D$61-(9.8*$C112*(車輪モータの選定!$D$8*COS(RADIANS(車輪モータの選定!$D$10))+SIN(RADIANS(車輪モータの選定!$D$10)))*車輪モータの選定!$D$7*D$62/(2*車輪モータの選定!$D$6)/D$60/D$63))*375/9.8/D112*車輪モータの選定!$D$11))</f>
        <v>0</v>
      </c>
      <c r="F112" s="118">
        <f>$C112*F$62^2*(1/F$60)^2/車輪モータの選定!$D$6+F$65+F$66</f>
        <v>0.27269693827160496</v>
      </c>
      <c r="G112" s="119">
        <f>IF($C112&gt;F$69,,MIN(F$59,(F$61-(9.8*$C112*(車輪モータの選定!$D$8*COS(RADIANS(車輪モータの選定!$D$10))+SIN(RADIANS(車輪モータの選定!$D$10)))*車輪モータの選定!$D$7*F$62/(2*車輪モータの選定!$D$6)/F$60/F$63))*375/9.8/F112*車輪モータの選定!$D$11))</f>
        <v>0</v>
      </c>
      <c r="H112" s="41">
        <f>$C112*H$62^2*(1/H$60)^2/車輪モータの選定!$D$6+H$65+H$66</f>
        <v>0.13279111111111114</v>
      </c>
      <c r="I112" s="130">
        <f>IF($C112&gt;H$69,,MIN(H$59,(H$61-(9.8*$C112*(車輪モータの選定!$D$8*COS(RADIANS(車輪モータの選定!$D$10))+SIN(RADIANS(車輪モータの選定!$D$10)))*車輪モータの選定!$D$7*H$62/(2*車輪モータの選定!$D$6)/H$60/H$63))*375/9.8/H112*車輪モータの選定!$D$11))</f>
        <v>0</v>
      </c>
      <c r="J112" s="118">
        <f>$C112*J$62^2*(1/J$60)^2/車輪モータの選定!$D$6+J$65+J$66</f>
        <v>0.22545999999999999</v>
      </c>
      <c r="K112" s="119">
        <f>IF($C112&gt;J$69,,MIN(J$59,(J$61-(9.8*$C112*(車輪モータの選定!$D$8*COS(RADIANS(車輪モータの選定!$D$10))+SIN(RADIANS(車輪モータの選定!$D$10)))*車輪モータの選定!$D$7*J$62/(2*車輪モータの選定!$D$6)/J$60/J$63))*375/9.8/J112*車輪モータの選定!$D$11))</f>
        <v>1191.7862066425089</v>
      </c>
      <c r="L112" s="41">
        <f>$C112*L$62^2*(1/L$60)^2/車輪モータの選定!$D$6+L$65+L$66</f>
        <v>0.11553914404432131</v>
      </c>
      <c r="M112" s="130">
        <f>IF($C112&gt;L$69,,MIN(L$59,(L$61-(9.8*$C112*(車輪モータの選定!$D$8*COS(RADIANS(車輪モータの選定!$D$10))+SIN(RADIANS(車輪モータの選定!$D$10)))*車輪モータの選定!$D$7*L$62/(2*車輪モータの選定!$D$6)/L$60/L$63))*375/9.8/L112*車輪モータの選定!$D$11))</f>
        <v>0</v>
      </c>
      <c r="N112" s="118">
        <f>$C112*N$62^2*(1/N$60)^2/車輪モータの選定!$D$6+N$65+N$66</f>
        <v>0.18023949944839596</v>
      </c>
      <c r="O112" s="119">
        <f>IF($C112&gt;N$69,,MIN(N$59,(N$61-(9.8*$C112*(車輪モータの選定!$D$8*COS(RADIANS(車輪モータの選定!$D$10))+SIN(RADIANS(車輪モータの選定!$D$10)))*車輪モータの選定!$D$7*N$62/(2*車輪モータの選定!$D$6)/N$60/N$63))*375/9.8/N112*車輪モータの選定!$D$11))</f>
        <v>0</v>
      </c>
      <c r="P112" s="41">
        <f>$C112*P$62^2*(1/P$60)^2/車輪モータの選定!$D$6+P$65+P$66</f>
        <v>0.35368786919182132</v>
      </c>
      <c r="Q112" s="119">
        <f>IF($C112&gt;P$69,,MIN(P$59,(P$61-(9.8*$C112*(車輪モータの選定!$D$8*COS(RADIANS(車輪モータの選定!$D$10))+SIN(RADIANS(車輪モータの選定!$D$10)))*車輪モータの選定!$D$7*P$62/(2*車輪モータの選定!$D$6)/P$60/P$63))*375/9.8/P112*車輪モータの選定!$D$11))</f>
        <v>0</v>
      </c>
    </row>
    <row r="113" spans="3:17" x14ac:dyDescent="0.15">
      <c r="C113" s="127">
        <f t="shared" si="14"/>
        <v>4800</v>
      </c>
      <c r="D113" s="41">
        <f>$C113*D$62^2*(1/D$60)^2/車輪モータの選定!$D$6+D$65+D$66</f>
        <v>0.10164800000000003</v>
      </c>
      <c r="E113" s="130">
        <f>IF($C113&gt;D$69,,MIN(D$59,(D$61-(9.8*$C113*(車輪モータの選定!$D$8*COS(RADIANS(車輪モータの選定!$D$10))+SIN(RADIANS(車輪モータの選定!$D$10)))*車輪モータの選定!$D$7*D$62/(2*車輪モータの選定!$D$6)/D$60/D$63))*375/9.8/D113*車輪モータの選定!$D$11))</f>
        <v>0</v>
      </c>
      <c r="F113" s="118">
        <f>$C113*F$62^2*(1/F$60)^2/車輪モータの選定!$D$6+F$65+F$66</f>
        <v>0.29738829629629632</v>
      </c>
      <c r="G113" s="119">
        <f>IF($C113&gt;F$69,,MIN(F$59,(F$61-(9.8*$C113*(車輪モータの選定!$D$8*COS(RADIANS(車輪モータの選定!$D$10))+SIN(RADIANS(車輪モータの選定!$D$10)))*車輪モータの選定!$D$7*F$62/(2*車輪モータの選定!$D$6)/F$60/F$63))*375/9.8/F113*車輪モータの選定!$D$11))</f>
        <v>0</v>
      </c>
      <c r="H113" s="41">
        <f>$C113*H$62^2*(1/H$60)^2/車輪モータの選定!$D$6+H$65+H$66</f>
        <v>0.14454666666666668</v>
      </c>
      <c r="I113" s="130">
        <f>IF($C113&gt;H$69,,MIN(H$59,(H$61-(9.8*$C113*(車輪モータの選定!$D$8*COS(RADIANS(車輪モータの選定!$D$10))+SIN(RADIANS(車輪モータの選定!$D$10)))*車輪モータの選定!$D$7*H$62/(2*車輪モータの選定!$D$6)/H$60/H$63))*375/9.8/H113*車輪モータの選定!$D$11))</f>
        <v>0</v>
      </c>
      <c r="J113" s="118">
        <f>$C113*J$62^2*(1/J$60)^2/車輪モータの選定!$D$6+J$65+J$66</f>
        <v>0.24545999999999998</v>
      </c>
      <c r="K113" s="119">
        <f>IF($C113&gt;J$69,,MIN(J$59,(J$61-(9.8*$C113*(車輪モータの選定!$D$8*COS(RADIANS(車輪モータの選定!$D$10))+SIN(RADIANS(車輪モータの選定!$D$10)))*車輪モータの選定!$D$7*J$62/(2*車輪モータの選定!$D$6)/J$60/J$63))*375/9.8/J113*車輪モータの選定!$D$11))</f>
        <v>0</v>
      </c>
      <c r="L113" s="41">
        <f>$C113*L$62^2*(1/L$60)^2/車輪モータの選定!$D$6+L$65+L$66</f>
        <v>0.12601352077562325</v>
      </c>
      <c r="M113" s="130">
        <f>IF($C113&gt;L$69,,MIN(L$59,(L$61-(9.8*$C113*(車輪モータの選定!$D$8*COS(RADIANS(車輪モータの選定!$D$10))+SIN(RADIANS(車輪モータの選定!$D$10)))*車輪モータの選定!$D$7*L$62/(2*車輪モータの選定!$D$6)/L$60/L$63))*375/9.8/L113*車輪モータの選定!$D$11))</f>
        <v>0</v>
      </c>
      <c r="N113" s="118">
        <f>$C113*N$62^2*(1/N$60)^2/車輪モータの選定!$D$6+N$65+N$66</f>
        <v>0.19656988121643193</v>
      </c>
      <c r="O113" s="119">
        <f>IF($C113&gt;N$69,,MIN(N$59,(N$61-(9.8*$C113*(車輪モータの選定!$D$8*COS(RADIANS(車輪モータの選定!$D$10))+SIN(RADIANS(車輪モータの選定!$D$10)))*車輪モータの選定!$D$7*N$62/(2*車輪モータの選定!$D$6)/N$60/N$63))*375/9.8/N113*車輪モータの選定!$D$11))</f>
        <v>0</v>
      </c>
      <c r="P113" s="41">
        <f>$C113*P$62^2*(1/P$60)^2/車輪モータの選定!$D$6+P$65+P$66</f>
        <v>0.38566358457289596</v>
      </c>
      <c r="Q113" s="119">
        <f>IF($C113&gt;P$69,,MIN(P$59,(P$61-(9.8*$C113*(車輪モータの選定!$D$8*COS(RADIANS(車輪モータの選定!$D$10))+SIN(RADIANS(車輪モータの選定!$D$10)))*車輪モータの選定!$D$7*P$62/(2*車輪モータの選定!$D$6)/P$60/P$63))*375/9.8/P113*車輪モータの選定!$D$11))</f>
        <v>0</v>
      </c>
    </row>
    <row r="114" spans="3:17" ht="14.25" thickBot="1" x14ac:dyDescent="0.2">
      <c r="C114" s="128">
        <f t="shared" si="14"/>
        <v>5200</v>
      </c>
      <c r="D114" s="50">
        <f>$C114*D$62^2*(1/D$60)^2/車輪モータの選定!$D$6+D$65+D$66</f>
        <v>0.11009800000000003</v>
      </c>
      <c r="E114" s="131">
        <f>IF($C114&gt;D$69,,MIN(D$59,(D$61-(9.8*$C114*(車輪モータの選定!$D$8*COS(RADIANS(車輪モータの選定!$D$10))+SIN(RADIANS(車輪モータの選定!$D$10)))*車輪モータの選定!$D$7*D$62/(2*車輪モータの選定!$D$6)/D$60/D$63))*375/9.8/D114*車輪モータの選定!$D$11))</f>
        <v>0</v>
      </c>
      <c r="F114" s="120">
        <f>$C114*F$62^2*(1/F$60)^2/車輪モータの選定!$D$6+F$65+F$66</f>
        <v>0.32207965432098767</v>
      </c>
      <c r="G114" s="131">
        <f>IF($C114&gt;F$69,,MIN(F$59,(F$61-(9.8*$C114*(車輪モータの選定!$D$8*COS(RADIANS(車輪モータの選定!$D$10))+SIN(RADIANS(車輪モータの選定!$D$10)))*車輪モータの選定!$D$7*F$62/(2*車輪モータの選定!$D$6)/F$60/F$63))*375/9.8/F114*車輪モータの選定!$D$11))</f>
        <v>0</v>
      </c>
      <c r="H114" s="50">
        <f>$C114*H$62^2*(1/H$60)^2/車輪モータの選定!$D$6+H$65+H$66</f>
        <v>0.15630222222222226</v>
      </c>
      <c r="I114" s="131">
        <f>IF($C114&gt;H$69,,MIN(H$59,(H$61-(9.8*$C114*(車輪モータの選定!$D$8*COS(RADIANS(車輪モータの選定!$D$10))+SIN(RADIANS(車輪モータの選定!$D$10)))*車輪モータの選定!$D$7*H$62/(2*車輪モータの選定!$D$6)/H$60/H$63))*375/9.8/H114*車輪モータの選定!$D$11))</f>
        <v>0</v>
      </c>
      <c r="J114" s="120">
        <f>$C114*J$62^2*(1/J$60)^2/車輪モータの選定!$D$6+J$65+J$66</f>
        <v>0.26546000000000003</v>
      </c>
      <c r="K114" s="121">
        <f>IF($C114&gt;J$69,,MIN(J$59,(J$61-(9.8*$C114*(車輪モータの選定!$D$8*COS(RADIANS(車輪モータの選定!$D$10))+SIN(RADIANS(車輪モータの選定!$D$10)))*車輪モータの選定!$D$7*J$62/(2*車輪モータの選定!$D$6)/J$60/J$63))*375/9.8/J114*車輪モータの選定!$D$11))</f>
        <v>0</v>
      </c>
      <c r="L114" s="50">
        <f>$C114*L$62^2*(1/L$60)^2/車輪モータの選定!$D$6+L$65+L$66</f>
        <v>0.13648789750692519</v>
      </c>
      <c r="M114" s="131">
        <f>IF($C114&gt;L$69,,MIN(L$59,(L$61-(9.8*$C114*(車輪モータの選定!$D$8*COS(RADIANS(車輪モータの選定!$D$10))+SIN(RADIANS(車輪モータの選定!$D$10)))*車輪モータの選定!$D$7*L$62/(2*車輪モータの選定!$D$6)/L$60/L$63))*375/9.8/L114*車輪モータの選定!$D$11))</f>
        <v>0</v>
      </c>
      <c r="N114" s="120">
        <f>$C114*N$62^2*(1/N$60)^2/車輪モータの選定!$D$6+N$65+N$66</f>
        <v>0.21290026298446793</v>
      </c>
      <c r="O114" s="121">
        <f>IF($C114&gt;N$69,,MIN(N$59,(N$61-(9.8*$C114*(車輪モータの選定!$D$8*COS(RADIANS(車輪モータの選定!$D$10))+SIN(RADIANS(車輪モータの選定!$D$10)))*車輪モータの選定!$D$7*N$62/(2*車輪モータの選定!$D$6)/N$60/N$63))*375/9.8/N114*車輪モータの選定!$D$11))</f>
        <v>0</v>
      </c>
      <c r="P114" s="50">
        <f>$C114*P$62^2*(1/P$60)^2/車輪モータの選定!$D$6+P$65+P$66</f>
        <v>0.4176392999539707</v>
      </c>
      <c r="Q114" s="121">
        <f>IF($C114&gt;P$69,,MIN(P$59,(P$61-(9.8*$C114*(車輪モータの選定!$D$8*COS(RADIANS(車輪モータの選定!$D$10))+SIN(RADIANS(車輪モータの選定!$D$10)))*車輪モータの選定!$D$7*P$62/(2*車輪モータの選定!$D$6)/P$60/P$63))*375/9.8/P114*車輪モータの選定!$D$11))</f>
        <v>0</v>
      </c>
    </row>
  </sheetData>
  <mergeCells count="13">
    <mergeCell ref="N81:O81"/>
    <mergeCell ref="P81:Q81"/>
    <mergeCell ref="J33:K33"/>
    <mergeCell ref="D81:E81"/>
    <mergeCell ref="F81:G81"/>
    <mergeCell ref="H81:I81"/>
    <mergeCell ref="J81:K81"/>
    <mergeCell ref="L81:M81"/>
    <mergeCell ref="C78:D78"/>
    <mergeCell ref="C74:D74"/>
    <mergeCell ref="C75:D75"/>
    <mergeCell ref="C76:D76"/>
    <mergeCell ref="C77:D77"/>
  </mergeCells>
  <phoneticPr fontId="2"/>
  <pageMargins left="0.75" right="0.75" top="1" bottom="1" header="0.51200000000000001" footer="0.51200000000000001"/>
  <pageSetup paperSize="8" orientation="portrait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27E696C-13EA-41CB-8356-AD7F2FED0CC0}">
          <x14:formula1>
            <xm:f>車輪型式!$A$2:$A$8</xm:f>
          </x14:formula1>
          <xm:sqref>J33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H37"/>
  <sheetViews>
    <sheetView zoomScale="80" zoomScaleNormal="80" workbookViewId="0">
      <selection activeCell="C37" sqref="C37"/>
    </sheetView>
  </sheetViews>
  <sheetFormatPr defaultRowHeight="13.5" x14ac:dyDescent="0.15"/>
  <sheetData>
    <row r="1" spans="1:8" ht="14.25" thickBot="1" x14ac:dyDescent="0.2"/>
    <row r="2" spans="1:8" s="90" customFormat="1" ht="27" x14ac:dyDescent="0.15">
      <c r="A2" s="88" t="s">
        <v>42</v>
      </c>
      <c r="B2" s="89" t="str">
        <f>必要トルク計算書!D58</f>
        <v>AWRⅡ010B</v>
      </c>
      <c r="C2" s="89" t="str">
        <f>必要トルク計算書!F58</f>
        <v>AWRⅡ030B-P</v>
      </c>
      <c r="D2" s="89" t="str">
        <f>必要トルク計算書!H58</f>
        <v>AWRⅡ075B-P</v>
      </c>
      <c r="E2" s="89" t="str">
        <f>必要トルク計算書!J81</f>
        <v>AWRⅡ220B</v>
      </c>
      <c r="F2" s="89" t="str">
        <f>必要トルク計算書!L58</f>
        <v>SWR010B-T11</v>
      </c>
      <c r="G2" s="89" t="str">
        <f>必要トルク計算書!N58</f>
        <v>SWR020B-T15</v>
      </c>
      <c r="H2" s="89" t="str">
        <f>必要トルク計算書!P58</f>
        <v>SWR040B-T23</v>
      </c>
    </row>
    <row r="3" spans="1:8" x14ac:dyDescent="0.15">
      <c r="A3" s="76">
        <f>必要トルク計算書!C83</f>
        <v>50</v>
      </c>
      <c r="B3" s="85">
        <f>必要トルク計算書!E83/B$36*B$37*PI()</f>
        <v>56.155968682917553</v>
      </c>
      <c r="C3" s="85">
        <f>必要トルク計算書!G83/C$36*C$37*PI()</f>
        <v>69.813170079773187</v>
      </c>
      <c r="D3" s="85">
        <f>必要トルク計算書!I83/D$36*D$37*PI()</f>
        <v>48.171087355043504</v>
      </c>
      <c r="E3" s="85">
        <f>必要トルク計算書!K83/E$36*E$37*PI()</f>
        <v>62.831853071795862</v>
      </c>
      <c r="F3" s="85">
        <f>必要トルク計算書!M83/F$36*F$37*PI()</f>
        <v>60.248306481672671</v>
      </c>
      <c r="G3" s="85">
        <f>必要トルク計算書!O83/G$36*G$37*PI()</f>
        <v>62.453347932809137</v>
      </c>
      <c r="H3" s="85">
        <f>必要トルク計算書!Q83/H$36*H$37*PI()</f>
        <v>53.626416654185306</v>
      </c>
    </row>
    <row r="4" spans="1:8" x14ac:dyDescent="0.15">
      <c r="A4" s="76">
        <f>必要トルク計算書!C84</f>
        <v>100</v>
      </c>
      <c r="B4" s="85">
        <f>必要トルク計算書!E84/B$36*B$37*PI()</f>
        <v>56.155968682917553</v>
      </c>
      <c r="C4" s="85">
        <f>必要トルク計算書!G84/C$36*C$37*PI()</f>
        <v>69.813170079773187</v>
      </c>
      <c r="D4" s="85">
        <f>必要トルク計算書!I84/D$36*D$37*PI()</f>
        <v>48.171087355043504</v>
      </c>
      <c r="E4" s="85">
        <f>必要トルク計算書!K84/E$36*E$37*PI()</f>
        <v>62.831853071795862</v>
      </c>
      <c r="F4" s="85">
        <f>必要トルク計算書!M84/F$36*F$37*PI()</f>
        <v>60.248306481672671</v>
      </c>
      <c r="G4" s="85">
        <f>必要トルク計算書!O84/G$36*G$37*PI()</f>
        <v>62.453347932809137</v>
      </c>
      <c r="H4" s="85">
        <f>必要トルク計算書!Q84/H$36*H$37*PI()</f>
        <v>53.626416654185306</v>
      </c>
    </row>
    <row r="5" spans="1:8" x14ac:dyDescent="0.15">
      <c r="A5" s="76">
        <f>必要トルク計算書!C85</f>
        <v>150</v>
      </c>
      <c r="B5" s="85">
        <f>必要トルク計算書!E85/B$36*B$37*PI()</f>
        <v>56.155968682917553</v>
      </c>
      <c r="C5" s="85">
        <f>必要トルク計算書!G85/C$36*C$37*PI()</f>
        <v>69.813170079773187</v>
      </c>
      <c r="D5" s="85">
        <f>必要トルク計算書!I85/D$36*D$37*PI()</f>
        <v>48.171087355043504</v>
      </c>
      <c r="E5" s="85">
        <f>必要トルク計算書!K85/E$36*E$37*PI()</f>
        <v>62.831853071795862</v>
      </c>
      <c r="F5" s="85">
        <f>必要トルク計算書!M85/F$36*F$37*PI()</f>
        <v>60.248306481672671</v>
      </c>
      <c r="G5" s="85">
        <f>必要トルク計算書!O85/G$36*G$37*PI()</f>
        <v>62.453347932809137</v>
      </c>
      <c r="H5" s="85">
        <f>必要トルク計算書!Q85/H$36*H$37*PI()</f>
        <v>53.626416654185306</v>
      </c>
    </row>
    <row r="6" spans="1:8" x14ac:dyDescent="0.15">
      <c r="A6" s="76">
        <f>必要トルク計算書!C86</f>
        <v>200</v>
      </c>
      <c r="B6" s="85">
        <f>必要トルク計算書!E86/B$36*B$37*PI()</f>
        <v>56.155968682917553</v>
      </c>
      <c r="C6" s="85">
        <f>必要トルク計算書!G86/C$36*C$37*PI()</f>
        <v>69.813170079773187</v>
      </c>
      <c r="D6" s="85">
        <f>必要トルク計算書!I86/D$36*D$37*PI()</f>
        <v>48.171087355043504</v>
      </c>
      <c r="E6" s="85">
        <f>必要トルク計算書!K86/E$36*E$37*PI()</f>
        <v>62.831853071795862</v>
      </c>
      <c r="F6" s="85">
        <f>必要トルク計算書!M86/F$36*F$37*PI()</f>
        <v>60.248306481672671</v>
      </c>
      <c r="G6" s="85">
        <f>必要トルク計算書!O86/G$36*G$37*PI()</f>
        <v>62.453347932809137</v>
      </c>
      <c r="H6" s="85">
        <f>必要トルク計算書!Q86/H$36*H$37*PI()</f>
        <v>53.626416654185306</v>
      </c>
    </row>
    <row r="7" spans="1:8" x14ac:dyDescent="0.15">
      <c r="A7" s="76">
        <f>必要トルク計算書!C87</f>
        <v>250</v>
      </c>
      <c r="B7" s="85">
        <f>必要トルク計算書!E87/B$36*B$37*PI()</f>
        <v>56.155968682917553</v>
      </c>
      <c r="C7" s="85">
        <f>必要トルク計算書!G87/C$36*C$37*PI()</f>
        <v>69.813170079773187</v>
      </c>
      <c r="D7" s="85">
        <f>必要トルク計算書!I87/D$36*D$37*PI()</f>
        <v>48.171087355043504</v>
      </c>
      <c r="E7" s="85">
        <f>必要トルク計算書!K87/E$36*E$37*PI()</f>
        <v>62.831853071795862</v>
      </c>
      <c r="F7" s="85">
        <f>必要トルク計算書!M87/F$36*F$37*PI()</f>
        <v>45.701945359545341</v>
      </c>
      <c r="G7" s="85">
        <f>必要トルク計算書!O87/G$36*G$37*PI()</f>
        <v>62.453347932809137</v>
      </c>
      <c r="H7" s="85">
        <f>必要トルク計算書!Q87/H$36*H$37*PI()</f>
        <v>53.626416654185306</v>
      </c>
    </row>
    <row r="8" spans="1:8" x14ac:dyDescent="0.15">
      <c r="A8" s="76">
        <f>必要トルク計算書!C88</f>
        <v>300</v>
      </c>
      <c r="B8" s="85">
        <f>必要トルク計算書!E88/B$36*B$37*PI()</f>
        <v>56.155968682917553</v>
      </c>
      <c r="C8" s="85">
        <f>必要トルク計算書!G88/C$36*C$37*PI()</f>
        <v>69.813170079773187</v>
      </c>
      <c r="D8" s="85">
        <f>必要トルク計算書!I88/D$36*D$37*PI()</f>
        <v>48.171087355043504</v>
      </c>
      <c r="E8" s="85">
        <f>必要トルク計算書!K88/E$36*E$37*PI()</f>
        <v>62.831853071795862</v>
      </c>
      <c r="F8" s="85">
        <f>必要トルク計算書!M88/F$36*F$37*PI()</f>
        <v>26.909652324630024</v>
      </c>
      <c r="G8" s="85">
        <f>必要トルク計算書!O88/G$36*G$37*PI()</f>
        <v>62.453347932809137</v>
      </c>
      <c r="H8" s="85">
        <f>必要トルク計算書!Q88/H$36*H$37*PI()</f>
        <v>53.626416654185306</v>
      </c>
    </row>
    <row r="9" spans="1:8" x14ac:dyDescent="0.15">
      <c r="A9" s="76">
        <f>必要トルク計算書!C89</f>
        <v>350</v>
      </c>
      <c r="B9" s="85">
        <f>必要トルク計算書!E89/B$36*B$37*PI()</f>
        <v>50.059543114524807</v>
      </c>
      <c r="C9" s="85">
        <f>必要トルク計算書!G89/C$36*C$37*PI()</f>
        <v>69.813170079773187</v>
      </c>
      <c r="D9" s="85">
        <f>必要トルク計算書!I89/D$36*D$37*PI()</f>
        <v>48.171087355043504</v>
      </c>
      <c r="E9" s="85">
        <f>必要トルク計算書!K89/E$36*E$37*PI()</f>
        <v>62.831853071795862</v>
      </c>
      <c r="F9" s="85">
        <f>必要トルク計算書!M89/F$36*F$37*PI()</f>
        <v>13.304896300921593</v>
      </c>
      <c r="G9" s="85">
        <f>必要トルク計算書!O89/G$36*G$37*PI()</f>
        <v>62.453347932809137</v>
      </c>
      <c r="H9" s="85">
        <f>必要トルク計算書!Q89/H$36*H$37*PI()</f>
        <v>53.626416654185306</v>
      </c>
    </row>
    <row r="10" spans="1:8" x14ac:dyDescent="0.15">
      <c r="A10" s="76">
        <f>必要トルク計算書!C90</f>
        <v>400</v>
      </c>
      <c r="B10" s="85">
        <f>必要トルク計算書!E90/B$36*B$37*PI()</f>
        <v>35.761394162274399</v>
      </c>
      <c r="C10" s="85">
        <f>必要トルク計算書!G90/C$36*C$37*PI()</f>
        <v>69.813170079773187</v>
      </c>
      <c r="D10" s="85">
        <f>必要トルク計算書!I90/D$36*D$37*PI()</f>
        <v>48.171087355043504</v>
      </c>
      <c r="E10" s="85">
        <f>必要トルク計算書!K90/E$36*E$37*PI()</f>
        <v>62.831853071795862</v>
      </c>
      <c r="F10" s="85">
        <f>必要トルク計算書!M90/F$36*F$37*PI()</f>
        <v>3.0001950941186895</v>
      </c>
      <c r="G10" s="85">
        <f>必要トルク計算書!O90/G$36*G$37*PI()</f>
        <v>62.453347932809137</v>
      </c>
      <c r="H10" s="85">
        <f>必要トルク計算書!Q90/H$36*H$37*PI()</f>
        <v>53.626416654185306</v>
      </c>
    </row>
    <row r="11" spans="1:8" x14ac:dyDescent="0.15">
      <c r="A11" s="76">
        <f>必要トルク計算書!C91</f>
        <v>450</v>
      </c>
      <c r="B11" s="85">
        <f>必要トルク計算書!E91/B$36*B$37*PI()</f>
        <v>24.55982769064822</v>
      </c>
      <c r="C11" s="85">
        <f>必要トルク計算書!G91/C$36*C$37*PI()</f>
        <v>67.926893732688981</v>
      </c>
      <c r="D11" s="85">
        <f>必要トルク計算書!I91/D$36*D$37*PI()</f>
        <v>48.171087355043504</v>
      </c>
      <c r="E11" s="85">
        <f>必要トルク計算書!K91/E$36*E$37*PI()</f>
        <v>62.831853071795862</v>
      </c>
      <c r="F11" s="85">
        <f>必要トルク計算書!M91/F$36*F$37*PI()</f>
        <v>-5.0752985329431644</v>
      </c>
      <c r="G11" s="85">
        <f>必要トルク計算書!O91/G$36*G$37*PI()</f>
        <v>62.453347932809137</v>
      </c>
      <c r="H11" s="85">
        <f>必要トルク計算書!Q91/H$36*H$37*PI()</f>
        <v>53.626416654185306</v>
      </c>
    </row>
    <row r="12" spans="1:8" x14ac:dyDescent="0.15">
      <c r="A12" s="76">
        <f>必要トルク計算書!C92</f>
        <v>500</v>
      </c>
      <c r="B12" s="85">
        <f>必要トルク計算書!E92/B$36*B$37*PI()</f>
        <v>0</v>
      </c>
      <c r="C12" s="85">
        <f>必要トルク計算書!G92/C$36*C$37*PI()</f>
        <v>54.530728054793357</v>
      </c>
      <c r="D12" s="85">
        <f>必要トルク計算書!I92/D$36*D$37*PI()</f>
        <v>48.171087355043504</v>
      </c>
      <c r="E12" s="85">
        <f>必要トルク計算書!K92/E$36*E$37*PI()</f>
        <v>62.831853071795862</v>
      </c>
      <c r="F12" s="85">
        <f>必要トルク計算書!M92/F$36*F$37*PI()</f>
        <v>-11.574343189700652</v>
      </c>
      <c r="G12" s="85">
        <f>必要トルク計算書!O92/G$36*G$37*PI()</f>
        <v>52.374606353989378</v>
      </c>
      <c r="H12" s="85">
        <f>必要トルク計算書!Q92/H$36*H$37*PI()</f>
        <v>53.626416654185306</v>
      </c>
    </row>
    <row r="13" spans="1:8" x14ac:dyDescent="0.15">
      <c r="A13" s="76">
        <f>必要トルク計算書!C93</f>
        <v>600</v>
      </c>
      <c r="B13" s="85">
        <f>必要トルク計算書!E93/B$36*B$37*PI()</f>
        <v>0</v>
      </c>
      <c r="C13" s="85">
        <f>必要トルク計算書!G93/C$36*C$37*PI()</f>
        <v>34.244649189519478</v>
      </c>
      <c r="D13" s="85">
        <f>必要トルク計算書!I93/D$36*D$37*PI()</f>
        <v>48.171087355043504</v>
      </c>
      <c r="E13" s="85">
        <f>必要トルク計算書!K93/E$36*E$37*PI()</f>
        <v>62.831853071795862</v>
      </c>
      <c r="F13" s="85">
        <f>必要トルク計算書!M93/F$36*F$37*PI()</f>
        <v>0</v>
      </c>
      <c r="G13" s="85">
        <f>必要トルク計算書!O93/G$36*G$37*PI()</f>
        <v>32.200825601116065</v>
      </c>
      <c r="H13" s="85">
        <f>必要トルク計算書!Q93/H$36*H$37*PI()</f>
        <v>53.626416654185306</v>
      </c>
    </row>
    <row r="14" spans="1:8" x14ac:dyDescent="0.15">
      <c r="A14" s="76">
        <f>必要トルク計算書!C94</f>
        <v>700</v>
      </c>
      <c r="B14" s="85">
        <f>必要トルク計算書!E94/B$36*B$37*PI()</f>
        <v>0</v>
      </c>
      <c r="C14" s="85">
        <f>必要トルク計算書!G94/C$36*C$37*PI()</f>
        <v>19.61172629937748</v>
      </c>
      <c r="D14" s="85">
        <f>必要トルク計算書!I94/D$36*D$37*PI()</f>
        <v>48.171087355043504</v>
      </c>
      <c r="E14" s="85">
        <f>必要トルク計算書!K94/E$36*E$37*PI()</f>
        <v>62.831853071795862</v>
      </c>
      <c r="F14" s="85">
        <f>必要トルク計算書!M94/F$36*F$37*PI()</f>
        <v>0</v>
      </c>
      <c r="G14" s="85">
        <f>必要トルク計算書!O94/G$36*G$37*PI()</f>
        <v>17.67143125799404</v>
      </c>
      <c r="H14" s="85">
        <f>必要トルク計算書!Q94/H$36*H$37*PI()</f>
        <v>53.626416654185306</v>
      </c>
    </row>
    <row r="15" spans="1:8" x14ac:dyDescent="0.15">
      <c r="A15" s="76">
        <f>必要トルク計算書!C95</f>
        <v>800</v>
      </c>
      <c r="B15" s="85">
        <f>必要トルク計算書!E95/B$36*B$37*PI()</f>
        <v>0</v>
      </c>
      <c r="C15" s="85">
        <f>必要トルク計算書!G95/C$36*C$37*PI()</f>
        <v>8.5578897945328976</v>
      </c>
      <c r="D15" s="85">
        <f>必要トルク計算書!I95/D$36*D$37*PI()</f>
        <v>48.171087355043504</v>
      </c>
      <c r="E15" s="85">
        <f>必要トルク計算書!K95/E$36*E$37*PI()</f>
        <v>62.831853071795862</v>
      </c>
      <c r="F15" s="85">
        <f>必要トルク計算書!M95/F$36*F$37*PI()</f>
        <v>0</v>
      </c>
      <c r="G15" s="85">
        <f>必要トルク計算書!O95/G$36*G$37*PI()</f>
        <v>6.7082923003978809</v>
      </c>
      <c r="H15" s="85">
        <f>必要トルク計算書!Q95/H$36*H$37*PI()</f>
        <v>44.903113957513355</v>
      </c>
    </row>
    <row r="16" spans="1:8" x14ac:dyDescent="0.15">
      <c r="A16" s="76">
        <f>必要トルク計算書!C96</f>
        <v>900</v>
      </c>
      <c r="B16" s="85">
        <f>必要トルク計算書!E96/B$36*B$37*PI()</f>
        <v>0</v>
      </c>
      <c r="C16" s="85">
        <f>必要トルク計算書!G96/C$36*C$37*PI()</f>
        <v>-8.6890997220520044E-2</v>
      </c>
      <c r="D16" s="85">
        <f>必要トルク計算書!I96/D$36*D$37*PI()</f>
        <v>48.171087355043504</v>
      </c>
      <c r="E16" s="85">
        <f>必要トルク計算書!K96/E$36*E$37*PI()</f>
        <v>62.831853071795862</v>
      </c>
      <c r="F16" s="85">
        <f>必要トルク計算書!M96/F$36*F$37*PI()</f>
        <v>0</v>
      </c>
      <c r="G16" s="85">
        <f>必要トルク計算書!O96/G$36*G$37*PI()</f>
        <v>-1.8580772757508164</v>
      </c>
      <c r="H16" s="85">
        <f>必要トルク計算書!Q96/H$36*H$37*PI()</f>
        <v>32.196257402462805</v>
      </c>
    </row>
    <row r="17" spans="1:8" x14ac:dyDescent="0.15">
      <c r="A17" s="76">
        <f>必要トルク計算書!C97</f>
        <v>1000</v>
      </c>
      <c r="B17" s="85">
        <f>必要トルク計算書!E97/B$36*B$37*PI()</f>
        <v>0</v>
      </c>
      <c r="C17" s="85">
        <f>必要トルク計算書!G97/C$36*C$37*PI()</f>
        <v>-7.0327698848676379</v>
      </c>
      <c r="D17" s="85">
        <f>必要トルク計算書!I97/D$36*D$37*PI()</f>
        <v>48.171087355043504</v>
      </c>
      <c r="E17" s="85">
        <f>必要トルク計算書!K97/E$36*E$37*PI()</f>
        <v>62.831853071795862</v>
      </c>
      <c r="F17" s="85">
        <f>必要トルク計算書!M97/F$36*F$37*PI()</f>
        <v>0</v>
      </c>
      <c r="G17" s="85">
        <f>必要トルク計算書!O97/G$36*G$37*PI()</f>
        <v>0</v>
      </c>
      <c r="H17" s="85">
        <f>必要トルク計算書!Q97/H$36*H$37*PI()</f>
        <v>21.970103935926065</v>
      </c>
    </row>
    <row r="18" spans="1:8" x14ac:dyDescent="0.15">
      <c r="A18" s="76">
        <f>必要トルク計算書!C98</f>
        <v>1200</v>
      </c>
      <c r="B18" s="85">
        <f>必要トルク計算書!E98/B$36*B$37*PI()</f>
        <v>0</v>
      </c>
      <c r="C18" s="85">
        <f>必要トルク計算書!G98/C$36*C$37*PI()</f>
        <v>-17.502042492677429</v>
      </c>
      <c r="D18" s="85">
        <f>必要トルク計算書!I98/D$36*D$37*PI()</f>
        <v>48.171087355043504</v>
      </c>
      <c r="E18" s="85">
        <f>必要トルク計算書!K98/E$36*E$37*PI()</f>
        <v>62.831853071795862</v>
      </c>
      <c r="F18" s="85">
        <f>必要トルク計算書!M98/F$36*F$37*PI()</f>
        <v>0</v>
      </c>
      <c r="G18" s="85">
        <f>必要トルク計算書!O98/G$36*G$37*PI()</f>
        <v>0</v>
      </c>
      <c r="H18" s="85">
        <f>必要トルク計算書!Q98/H$36*H$37*PI()</f>
        <v>6.5287502600080014</v>
      </c>
    </row>
    <row r="19" spans="1:8" x14ac:dyDescent="0.15">
      <c r="A19" s="76">
        <f>必要トルク計算書!C99</f>
        <v>1400</v>
      </c>
      <c r="B19" s="85">
        <f>必要トルク計算書!E99/B$36*B$37*PI()</f>
        <v>0</v>
      </c>
      <c r="C19" s="85">
        <f>必要トルク計算書!G99/C$36*C$37*PI()</f>
        <v>-25.017419776709925</v>
      </c>
      <c r="D19" s="85">
        <f>必要トルク計算書!I99/D$36*D$37*PI()</f>
        <v>48.171087355043504</v>
      </c>
      <c r="E19" s="85">
        <f>必要トルク計算書!K99/E$36*E$37*PI()</f>
        <v>62.831853071795862</v>
      </c>
      <c r="F19" s="85">
        <f>必要トルク計算書!M99/F$36*F$37*PI()</f>
        <v>0</v>
      </c>
      <c r="G19" s="85">
        <f>必要トルク計算書!O99/G$36*G$37*PI()</f>
        <v>0</v>
      </c>
      <c r="H19" s="85">
        <f>必要トルク計算書!Q99/H$36*H$37*PI()</f>
        <v>-4.5765332164175723</v>
      </c>
    </row>
    <row r="20" spans="1:8" x14ac:dyDescent="0.15">
      <c r="A20" s="76">
        <f>必要トルク計算書!C100</f>
        <v>1600</v>
      </c>
      <c r="B20" s="85">
        <f>必要トルク計算書!E100/B$36*B$37*PI()</f>
        <v>0</v>
      </c>
      <c r="C20" s="85">
        <f>必要トルク計算書!G100/C$36*C$37*PI()</f>
        <v>-30.674499012109028</v>
      </c>
      <c r="D20" s="85">
        <f>必要トルク計算書!I100/D$36*D$37*PI()</f>
        <v>48.171087355043504</v>
      </c>
      <c r="E20" s="85">
        <f>必要トルク計算書!K100/E$36*E$37*PI()</f>
        <v>62.831853071795862</v>
      </c>
      <c r="F20" s="85">
        <f>必要トルク計算書!M100/F$36*F$37*PI()</f>
        <v>0</v>
      </c>
      <c r="G20" s="85">
        <f>必要トルク計算書!O100/G$36*G$37*PI()</f>
        <v>0</v>
      </c>
      <c r="H20" s="85">
        <f>必要トルク計算書!Q100/H$36*H$37*PI()</f>
        <v>-12.947293118374102</v>
      </c>
    </row>
    <row r="21" spans="1:8" x14ac:dyDescent="0.15">
      <c r="A21" s="76">
        <f>必要トルク計算書!C101</f>
        <v>1800</v>
      </c>
      <c r="B21" s="85">
        <f>必要トルク計算書!E101/B$36*B$37*PI()</f>
        <v>0</v>
      </c>
      <c r="C21" s="85">
        <f>必要トルク計算書!G101/C$36*C$37*PI()</f>
        <v>0</v>
      </c>
      <c r="D21" s="85">
        <f>必要トルク計算書!I101/D$36*D$37*PI()</f>
        <v>48.171087355043504</v>
      </c>
      <c r="E21" s="85">
        <f>必要トルク計算書!K101/E$36*E$37*PI()</f>
        <v>62.831853071795862</v>
      </c>
      <c r="F21" s="85">
        <f>必要トルク計算書!M101/F$36*F$37*PI()</f>
        <v>0</v>
      </c>
      <c r="G21" s="85">
        <f>必要トルク計算書!O101/G$36*G$37*PI()</f>
        <v>0</v>
      </c>
      <c r="H21" s="85">
        <f>必要トルク計算書!Q101/H$36*H$37*PI()</f>
        <v>-19.482818927830433</v>
      </c>
    </row>
    <row r="22" spans="1:8" x14ac:dyDescent="0.15">
      <c r="A22" s="76">
        <f>必要トルク計算書!C102</f>
        <v>2000</v>
      </c>
      <c r="B22" s="85">
        <f>必要トルク計算書!E102/B$36*B$37*PI()</f>
        <v>0</v>
      </c>
      <c r="C22" s="85">
        <f>必要トルク計算書!G102/C$36*C$37*PI()</f>
        <v>0</v>
      </c>
      <c r="D22" s="85">
        <f>必要トルク計算書!I102/D$36*D$37*PI()</f>
        <v>39.767707907165914</v>
      </c>
      <c r="E22" s="85">
        <f>必要トルク計算書!K102/E$36*E$37*PI()</f>
        <v>62.831853071795862</v>
      </c>
      <c r="F22" s="85">
        <f>必要トルク計算書!M102/F$36*F$37*PI()</f>
        <v>0</v>
      </c>
      <c r="G22" s="85">
        <f>必要トルク計算書!O102/G$36*G$37*PI()</f>
        <v>0</v>
      </c>
      <c r="H22" s="85">
        <f>必要トルク計算書!Q102/H$36*H$37*PI()</f>
        <v>-24.727029812751425</v>
      </c>
    </row>
    <row r="23" spans="1:8" x14ac:dyDescent="0.15">
      <c r="A23" s="76">
        <f>必要トルク計算書!C103</f>
        <v>2200</v>
      </c>
      <c r="B23" s="85">
        <f>必要トルク計算書!E103/B$36*B$37*PI()</f>
        <v>0</v>
      </c>
      <c r="C23" s="85">
        <f>必要トルク計算書!G103/C$36*C$37*PI()</f>
        <v>0</v>
      </c>
      <c r="D23" s="85">
        <f>必要トルク計算書!I103/D$36*D$37*PI()</f>
        <v>30.231686108391013</v>
      </c>
      <c r="E23" s="85">
        <f>必要トルク計算書!K103/E$36*E$37*PI()</f>
        <v>62.831853071795862</v>
      </c>
      <c r="F23" s="85">
        <f>必要トルク計算書!M103/F$36*F$37*PI()</f>
        <v>0</v>
      </c>
      <c r="G23" s="85">
        <f>必要トルク計算書!O103/G$36*G$37*PI()</f>
        <v>0</v>
      </c>
      <c r="H23" s="85">
        <f>必要トルク計算書!Q103/H$36*H$37*PI()</f>
        <v>-29.028230677335863</v>
      </c>
    </row>
    <row r="24" spans="1:8" x14ac:dyDescent="0.15">
      <c r="A24" s="76">
        <f>必要トルク計算書!C104</f>
        <v>2400</v>
      </c>
      <c r="B24" s="85">
        <f>必要トルク計算書!E104/B$36*B$37*PI()</f>
        <v>0</v>
      </c>
      <c r="C24" s="85">
        <f>必要トルク計算書!G104/C$36*C$37*PI()</f>
        <v>0</v>
      </c>
      <c r="D24" s="85">
        <f>必要トルク計算書!I104/D$36*D$37*PI()</f>
        <v>22.210272948165301</v>
      </c>
      <c r="E24" s="85">
        <f>必要トルク計算書!K104/E$36*E$37*PI()</f>
        <v>62.831853071795862</v>
      </c>
      <c r="F24" s="85">
        <f>必要トルク計算書!M104/F$36*F$37*PI()</f>
        <v>0</v>
      </c>
      <c r="G24" s="85">
        <f>必要トルク計算書!O104/G$36*G$37*PI()</f>
        <v>0</v>
      </c>
      <c r="H24" s="85">
        <f>必要トルク計算書!Q104/H$36*H$37*PI()</f>
        <v>-32.619795935597011</v>
      </c>
    </row>
    <row r="25" spans="1:8" x14ac:dyDescent="0.15">
      <c r="A25" s="76">
        <f>必要トルク計算書!C105</f>
        <v>2600</v>
      </c>
      <c r="B25" s="85">
        <f>必要トルク計算書!E105/B$36*B$37*PI()</f>
        <v>0</v>
      </c>
      <c r="C25" s="85">
        <f>必要トルク計算書!G105/C$36*C$37*PI()</f>
        <v>0</v>
      </c>
      <c r="D25" s="85">
        <f>必要トルク計算書!I105/D$36*D$37*PI()</f>
        <v>15.369168419621401</v>
      </c>
      <c r="E25" s="85">
        <f>必要トルク計算書!K105/E$36*E$37*PI()</f>
        <v>62.831853071795862</v>
      </c>
      <c r="F25" s="85">
        <f>必要トルク計算書!M105/F$36*F$37*PI()</f>
        <v>0</v>
      </c>
      <c r="G25" s="85">
        <f>必要トルク計算書!O105/G$36*G$37*PI()</f>
        <v>0</v>
      </c>
      <c r="H25" s="85">
        <f>必要トルク計算書!Q105/H$36*H$37*PI()</f>
        <v>0</v>
      </c>
    </row>
    <row r="26" spans="1:8" x14ac:dyDescent="0.15">
      <c r="A26" s="76">
        <f>必要トルク計算書!C106</f>
        <v>2800</v>
      </c>
      <c r="B26" s="85">
        <f>必要トルク計算書!E106/B$36*B$37*PI()</f>
        <v>0</v>
      </c>
      <c r="C26" s="85">
        <f>必要トルク計算書!G106/C$36*C$37*PI()</f>
        <v>0</v>
      </c>
      <c r="D26" s="85">
        <f>必要トルク計算書!I106/D$36*D$37*PI()</f>
        <v>9.4657113922693306</v>
      </c>
      <c r="E26" s="85">
        <f>必要トルク計算書!K106/E$36*E$37*PI()</f>
        <v>62.831853071795862</v>
      </c>
      <c r="F26" s="85">
        <f>必要トルク計算書!M106/F$36*F$37*PI()</f>
        <v>0</v>
      </c>
      <c r="G26" s="85">
        <f>必要トルク計算書!O106/G$36*G$37*PI()</f>
        <v>0</v>
      </c>
      <c r="H26" s="85">
        <f>必要トルク計算書!Q106/H$36*H$37*PI()</f>
        <v>0</v>
      </c>
    </row>
    <row r="27" spans="1:8" x14ac:dyDescent="0.15">
      <c r="A27" s="76">
        <f>必要トルク計算書!C107</f>
        <v>3000</v>
      </c>
      <c r="B27" s="85">
        <f>必要トルク計算書!E107/B$36*B$37*PI()</f>
        <v>0</v>
      </c>
      <c r="C27" s="85">
        <f>必要トルク計算書!G107/C$36*C$37*PI()</f>
        <v>0</v>
      </c>
      <c r="D27" s="85">
        <f>必要トルク計算書!I107/D$36*D$37*PI()</f>
        <v>4.3194932212663062</v>
      </c>
      <c r="E27" s="85">
        <f>必要トルク計算書!K107/E$36*E$37*PI()</f>
        <v>62.831853071795862</v>
      </c>
      <c r="F27" s="85">
        <f>必要トルク計算書!M107/F$36*F$37*PI()</f>
        <v>0</v>
      </c>
      <c r="G27" s="85">
        <f>必要トルク計算書!O107/G$36*G$37*PI()</f>
        <v>0</v>
      </c>
      <c r="H27" s="85">
        <f>必要トルク計算書!Q107/H$36*H$37*PI()</f>
        <v>0</v>
      </c>
    </row>
    <row r="28" spans="1:8" x14ac:dyDescent="0.15">
      <c r="A28" s="76">
        <f>必要トルク計算書!C108</f>
        <v>3200</v>
      </c>
      <c r="B28" s="85">
        <f>必要トルク計算書!E108/B$36*B$37*PI()</f>
        <v>0</v>
      </c>
      <c r="C28" s="85">
        <f>必要トルク計算書!G108/C$36*C$37*PI()</f>
        <v>0</v>
      </c>
      <c r="D28" s="85">
        <f>必要トルク計算書!I108/D$36*D$37*PI()</f>
        <v>-0.20640197373968572</v>
      </c>
      <c r="E28" s="85">
        <f>必要トルク計算書!K108/E$36*E$37*PI()</f>
        <v>62.831853071795862</v>
      </c>
      <c r="F28" s="85">
        <f>必要トルク計算書!M108/F$36*F$37*PI()</f>
        <v>0</v>
      </c>
      <c r="G28" s="85">
        <f>必要トルク計算書!O108/G$36*G$37*PI()</f>
        <v>0</v>
      </c>
      <c r="H28" s="85">
        <f>必要トルク計算書!Q108/H$36*H$37*PI()</f>
        <v>0</v>
      </c>
    </row>
    <row r="29" spans="1:8" x14ac:dyDescent="0.15">
      <c r="A29" s="76">
        <f>必要トルク計算書!C109</f>
        <v>3400</v>
      </c>
      <c r="B29" s="85">
        <f>必要トルク計算書!E109/B$36*B$37*PI()</f>
        <v>0</v>
      </c>
      <c r="C29" s="85">
        <f>必要トルク計算書!G109/C$36*C$37*PI()</f>
        <v>0</v>
      </c>
      <c r="D29" s="85">
        <f>必要トルク計算書!I109/D$36*D$37*PI()</f>
        <v>0</v>
      </c>
      <c r="E29" s="85">
        <f>必要トルク計算書!K109/E$36*E$37*PI()</f>
        <v>62.831853071795862</v>
      </c>
      <c r="F29" s="85">
        <f>必要トルク計算書!M109/F$36*F$37*PI()</f>
        <v>0</v>
      </c>
      <c r="G29" s="85">
        <f>必要トルク計算書!O109/G$36*G$37*PI()</f>
        <v>0</v>
      </c>
      <c r="H29" s="85">
        <f>必要トルク計算書!Q109/H$36*H$37*PI()</f>
        <v>0</v>
      </c>
    </row>
    <row r="30" spans="1:8" x14ac:dyDescent="0.15">
      <c r="A30" s="76">
        <f>必要トルク計算書!C110</f>
        <v>3600</v>
      </c>
      <c r="B30" s="85">
        <f>必要トルク計算書!E110/B$36*B$37*PI()</f>
        <v>0</v>
      </c>
      <c r="C30" s="85">
        <f>必要トルク計算書!G110/C$36*C$37*PI()</f>
        <v>0</v>
      </c>
      <c r="D30" s="85">
        <f>必要トルク計算書!I110/D$36*D$37*PI()</f>
        <v>0</v>
      </c>
      <c r="E30" s="85">
        <f>必要トルク計算書!K110/E$36*E$37*PI()</f>
        <v>59.408878699117082</v>
      </c>
      <c r="F30" s="85">
        <f>必要トルク計算書!M110/F$36*F$37*PI()</f>
        <v>0</v>
      </c>
      <c r="G30" s="85">
        <f>必要トルク計算書!O110/G$36*G$37*PI()</f>
        <v>0</v>
      </c>
      <c r="H30" s="85">
        <f>必要トルク計算書!Q110/H$36*H$37*PI()</f>
        <v>0</v>
      </c>
    </row>
    <row r="31" spans="1:8" x14ac:dyDescent="0.15">
      <c r="A31" s="76">
        <f>必要トルク計算書!C111</f>
        <v>4000</v>
      </c>
      <c r="B31" s="85">
        <f>必要トルク計算書!E111/B$36*B$37*PI()</f>
        <v>0</v>
      </c>
      <c r="C31" s="85">
        <f>必要トルク計算書!G111/C$36*C$37*PI()</f>
        <v>0</v>
      </c>
      <c r="D31" s="85">
        <f>必要トルク計算書!I111/D$36*D$37*PI()</f>
        <v>0</v>
      </c>
      <c r="E31" s="85">
        <f>必要トルク計算書!K111/E$36*E$37*PI()</f>
        <v>47.355771964162876</v>
      </c>
      <c r="F31" s="85">
        <f>必要トルク計算書!M111/F$36*F$37*PI()</f>
        <v>0</v>
      </c>
      <c r="G31" s="85">
        <f>必要トルク計算書!O111/G$36*G$37*PI()</f>
        <v>0</v>
      </c>
      <c r="H31" s="85">
        <f>必要トルク計算書!Q111/H$36*H$37*PI()</f>
        <v>0</v>
      </c>
    </row>
    <row r="32" spans="1:8" x14ac:dyDescent="0.15">
      <c r="A32" s="76">
        <f>必要トルク計算書!C112</f>
        <v>4400</v>
      </c>
      <c r="B32" s="85">
        <f>必要トルク計算書!E112/B$36*B$37*PI()</f>
        <v>0</v>
      </c>
      <c r="C32" s="85">
        <f>必要トルク計算書!G112/C$36*C$37*PI()</f>
        <v>0</v>
      </c>
      <c r="D32" s="85">
        <f>必要トルク計算書!I112/D$36*D$37*PI()</f>
        <v>0</v>
      </c>
      <c r="E32" s="85">
        <f>必要トルク計算書!K112/E$36*E$37*PI()</f>
        <v>37.441067914377527</v>
      </c>
      <c r="F32" s="85">
        <f>必要トルク計算書!M112/F$36*F$37*PI()</f>
        <v>0</v>
      </c>
      <c r="G32" s="85">
        <f>必要トルク計算書!O112/G$36*G$37*PI()</f>
        <v>0</v>
      </c>
      <c r="H32" s="85">
        <f>必要トルク計算書!Q112/H$36*H$37*PI()</f>
        <v>0</v>
      </c>
    </row>
    <row r="33" spans="1:8" x14ac:dyDescent="0.15">
      <c r="A33" s="76">
        <f>必要トルク計算書!C113</f>
        <v>4800</v>
      </c>
      <c r="B33" s="85">
        <f>必要トルク計算書!E113/B$36*B$37*PI()</f>
        <v>0</v>
      </c>
      <c r="C33" s="85">
        <f>必要トルク計算書!G113/C$36*C$37*PI()</f>
        <v>0</v>
      </c>
      <c r="D33" s="85">
        <f>必要トルク計算書!I113/D$36*D$37*PI()</f>
        <v>0</v>
      </c>
      <c r="E33" s="85">
        <f>必要トルク計算書!K113/E$36*E$37*PI()</f>
        <v>0</v>
      </c>
      <c r="F33" s="85">
        <f>必要トルク計算書!M113/F$36*F$37*PI()</f>
        <v>0</v>
      </c>
      <c r="G33" s="85">
        <f>必要トルク計算書!O113/G$36*G$37*PI()</f>
        <v>0</v>
      </c>
      <c r="H33" s="85">
        <f>必要トルク計算書!Q113/H$36*H$37*PI()</f>
        <v>0</v>
      </c>
    </row>
    <row r="34" spans="1:8" x14ac:dyDescent="0.15">
      <c r="A34" s="76">
        <f>必要トルク計算書!C114</f>
        <v>5200</v>
      </c>
      <c r="B34" s="85">
        <f>必要トルク計算書!E114/B$36*B$37*PI()</f>
        <v>0</v>
      </c>
      <c r="C34" s="85">
        <f>必要トルク計算書!G114/C$36*C$37*PI()</f>
        <v>0</v>
      </c>
      <c r="D34" s="85">
        <f>必要トルク計算書!I114/D$36*D$37*PI()</f>
        <v>0</v>
      </c>
      <c r="E34" s="85">
        <f>必要トルク計算書!K114/E$36*E$37*PI()</f>
        <v>0</v>
      </c>
      <c r="F34" s="85">
        <f>必要トルク計算書!M114/F$36*F$37*PI()</f>
        <v>0</v>
      </c>
      <c r="G34" s="85">
        <f>必要トルク計算書!O114/G$36*G$37*PI()</f>
        <v>0</v>
      </c>
      <c r="H34" s="85">
        <f>必要トルク計算書!Q114/H$36*H$37*PI()</f>
        <v>0</v>
      </c>
    </row>
    <row r="36" spans="1:8" x14ac:dyDescent="0.15">
      <c r="A36" s="75" t="s">
        <v>33</v>
      </c>
      <c r="B36" s="75">
        <v>20</v>
      </c>
      <c r="C36" s="75">
        <v>18</v>
      </c>
      <c r="D36" s="75">
        <v>30</v>
      </c>
      <c r="E36" s="75">
        <v>30</v>
      </c>
      <c r="F36" s="75">
        <v>15.2</v>
      </c>
      <c r="G36" s="75">
        <v>16.600000000000001</v>
      </c>
      <c r="H36" s="75">
        <v>18.190000000000001</v>
      </c>
    </row>
    <row r="37" spans="1:8" x14ac:dyDescent="0.15">
      <c r="A37" s="67" t="s">
        <v>38</v>
      </c>
      <c r="B37" s="67">
        <v>0.13</v>
      </c>
      <c r="C37" s="67">
        <v>0.2</v>
      </c>
      <c r="D37" s="67">
        <v>0.23</v>
      </c>
      <c r="E37" s="67">
        <v>0.3</v>
      </c>
      <c r="F37" s="67">
        <v>0.11</v>
      </c>
      <c r="G37" s="67">
        <v>0.15</v>
      </c>
      <c r="H37" s="67">
        <v>0.23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6DE10-C7FB-4843-8183-079C5B228473}">
  <sheetPr codeName="Sheet4"/>
  <dimension ref="A1:S35"/>
  <sheetViews>
    <sheetView showGridLines="0" showRowColHeaders="0" tabSelected="1" showRuler="0" showWhiteSpace="0" view="pageBreakPreview" zoomScaleNormal="112" zoomScaleSheetLayoutView="100" workbookViewId="0">
      <selection activeCell="D5" sqref="D5:D11"/>
    </sheetView>
  </sheetViews>
  <sheetFormatPr defaultRowHeight="12" x14ac:dyDescent="0.15"/>
  <cols>
    <col min="1" max="1" width="2.625" style="166" customWidth="1"/>
    <col min="2" max="2" width="11.375" style="166" bestFit="1" customWidth="1"/>
    <col min="3" max="3" width="3.125" style="166" bestFit="1" customWidth="1"/>
    <col min="4" max="4" width="6.375" style="166" bestFit="1" customWidth="1"/>
    <col min="5" max="5" width="0.875" style="166" customWidth="1"/>
    <col min="6" max="6" width="10.625" style="166" customWidth="1"/>
    <col min="7" max="7" width="9" style="166" customWidth="1"/>
    <col min="8" max="10" width="8.625" style="166" customWidth="1"/>
    <col min="11" max="11" width="2.625" style="166" customWidth="1"/>
    <col min="12" max="12" width="1.625" style="166" customWidth="1"/>
    <col min="13" max="13" width="2.625" style="166" customWidth="1"/>
    <col min="14" max="14" width="16.375" style="166" customWidth="1"/>
    <col min="15" max="17" width="12.625" style="166" customWidth="1"/>
    <col min="18" max="18" width="7.5" style="166" customWidth="1"/>
    <col min="19" max="19" width="2.625" style="166" customWidth="1"/>
    <col min="20" max="16384" width="9" style="166"/>
  </cols>
  <sheetData>
    <row r="1" spans="1:19" ht="21" customHeight="1" x14ac:dyDescent="0.15">
      <c r="A1" s="246" t="s">
        <v>149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</row>
    <row r="2" spans="1:19" ht="15.95" customHeight="1" thickBot="1" x14ac:dyDescent="0.2">
      <c r="A2" s="165"/>
      <c r="B2" s="241" t="s">
        <v>144</v>
      </c>
      <c r="C2" s="241"/>
      <c r="D2" s="241"/>
      <c r="E2" s="241"/>
      <c r="F2" s="241"/>
      <c r="G2" s="241"/>
      <c r="H2" s="241"/>
      <c r="I2" s="241"/>
      <c r="J2" s="241"/>
      <c r="K2" s="165"/>
      <c r="M2" s="165"/>
      <c r="N2" s="241" t="s">
        <v>145</v>
      </c>
      <c r="O2" s="241"/>
      <c r="P2" s="241"/>
      <c r="Q2" s="241"/>
      <c r="R2" s="241"/>
      <c r="S2" s="165"/>
    </row>
    <row r="3" spans="1:19" ht="50.1" customHeight="1" thickBot="1" x14ac:dyDescent="0.2">
      <c r="A3" s="165"/>
      <c r="B3" s="242" t="s">
        <v>146</v>
      </c>
      <c r="C3" s="243"/>
      <c r="D3" s="243"/>
      <c r="E3" s="243"/>
      <c r="F3" s="243"/>
      <c r="G3" s="243"/>
      <c r="H3" s="243"/>
      <c r="I3" s="243"/>
      <c r="J3" s="243"/>
      <c r="K3" s="165"/>
      <c r="M3" s="165"/>
      <c r="N3" s="244" t="s">
        <v>148</v>
      </c>
      <c r="O3" s="245"/>
      <c r="P3" s="245"/>
      <c r="Q3" s="245"/>
      <c r="R3" s="245"/>
      <c r="S3" s="165"/>
    </row>
    <row r="4" spans="1:19" ht="15.95" customHeight="1" thickBot="1" x14ac:dyDescent="0.2">
      <c r="A4" s="165"/>
      <c r="B4" s="222" t="s">
        <v>136</v>
      </c>
      <c r="C4" s="223"/>
      <c r="D4" s="167" t="s">
        <v>137</v>
      </c>
      <c r="E4" s="222" t="s">
        <v>138</v>
      </c>
      <c r="F4" s="224"/>
      <c r="G4" s="224"/>
      <c r="H4" s="224"/>
      <c r="I4" s="224"/>
      <c r="J4" s="225"/>
      <c r="K4" s="168"/>
      <c r="M4" s="165"/>
      <c r="N4" s="169" t="s">
        <v>141</v>
      </c>
      <c r="O4" s="213" t="s">
        <v>150</v>
      </c>
      <c r="P4" s="213"/>
      <c r="Q4" s="214"/>
      <c r="R4" s="170"/>
      <c r="S4" s="165"/>
    </row>
    <row r="5" spans="1:19" ht="15.95" customHeight="1" x14ac:dyDescent="0.15">
      <c r="A5" s="170"/>
      <c r="B5" s="171" t="s">
        <v>116</v>
      </c>
      <c r="C5" s="172"/>
      <c r="D5" s="163">
        <v>4</v>
      </c>
      <c r="E5" s="173"/>
      <c r="F5" s="215" t="s">
        <v>128</v>
      </c>
      <c r="G5" s="215"/>
      <c r="H5" s="215"/>
      <c r="I5" s="215"/>
      <c r="J5" s="216"/>
      <c r="K5" s="174"/>
      <c r="L5" s="175"/>
      <c r="M5" s="165"/>
      <c r="N5" s="176" t="s">
        <v>117</v>
      </c>
      <c r="O5" s="199" t="s">
        <v>125</v>
      </c>
      <c r="P5" s="196">
        <f>AWRⅡ010B!C13</f>
        <v>0.2</v>
      </c>
      <c r="Q5" s="177" t="s">
        <v>121</v>
      </c>
      <c r="R5" s="165"/>
      <c r="S5" s="165"/>
    </row>
    <row r="6" spans="1:19" ht="15.95" customHeight="1" x14ac:dyDescent="0.15">
      <c r="A6" s="165"/>
      <c r="B6" s="178" t="s">
        <v>113</v>
      </c>
      <c r="C6" s="179"/>
      <c r="D6" s="164">
        <v>2</v>
      </c>
      <c r="E6" s="180"/>
      <c r="F6" s="217" t="s">
        <v>129</v>
      </c>
      <c r="G6" s="217"/>
      <c r="H6" s="217"/>
      <c r="I6" s="217"/>
      <c r="J6" s="218"/>
      <c r="K6" s="174"/>
      <c r="L6" s="175"/>
      <c r="M6" s="165"/>
      <c r="N6" s="181" t="s">
        <v>118</v>
      </c>
      <c r="O6" s="200" t="s">
        <v>126</v>
      </c>
      <c r="P6" s="197">
        <f>AWRⅡ010B!C10/AWRⅡ010B!C11*AWRⅡ010B!C13*PI()</f>
        <v>69.813170079773187</v>
      </c>
      <c r="Q6" s="182" t="s">
        <v>119</v>
      </c>
      <c r="R6" s="165"/>
      <c r="S6" s="165"/>
    </row>
    <row r="7" spans="1:19" ht="15.95" customHeight="1" thickBot="1" x14ac:dyDescent="0.2">
      <c r="A7" s="165"/>
      <c r="B7" s="178" t="s">
        <v>71</v>
      </c>
      <c r="C7" s="183" t="s">
        <v>124</v>
      </c>
      <c r="D7" s="202">
        <v>1.5</v>
      </c>
      <c r="E7" s="180"/>
      <c r="F7" s="219" t="s">
        <v>153</v>
      </c>
      <c r="G7" s="220"/>
      <c r="H7" s="220"/>
      <c r="I7" s="220"/>
      <c r="J7" s="221"/>
      <c r="K7" s="174"/>
      <c r="L7" s="175"/>
      <c r="M7" s="165"/>
      <c r="N7" s="184" t="s">
        <v>122</v>
      </c>
      <c r="O7" s="201" t="s">
        <v>127</v>
      </c>
      <c r="P7" s="198">
        <f>AWRⅡ010B!C20</f>
        <v>1599.9999999999998</v>
      </c>
      <c r="Q7" s="185" t="s">
        <v>120</v>
      </c>
      <c r="R7" s="165"/>
      <c r="S7" s="165"/>
    </row>
    <row r="8" spans="1:19" ht="15.95" customHeight="1" x14ac:dyDescent="0.15">
      <c r="A8" s="165"/>
      <c r="B8" s="229" t="s">
        <v>114</v>
      </c>
      <c r="C8" s="231" t="s">
        <v>123</v>
      </c>
      <c r="D8" s="233">
        <v>0.03</v>
      </c>
      <c r="E8" s="239"/>
      <c r="F8" s="235" t="s">
        <v>130</v>
      </c>
      <c r="G8" s="235"/>
      <c r="H8" s="235"/>
      <c r="I8" s="235"/>
      <c r="J8" s="236"/>
      <c r="K8" s="186"/>
      <c r="L8" s="175"/>
      <c r="M8" s="165"/>
      <c r="N8" s="187" t="s">
        <v>140</v>
      </c>
      <c r="O8" s="165"/>
      <c r="P8" s="165"/>
      <c r="Q8" s="165"/>
      <c r="R8" s="165"/>
      <c r="S8" s="165"/>
    </row>
    <row r="9" spans="1:19" ht="15.95" customHeight="1" x14ac:dyDescent="0.15">
      <c r="A9" s="165"/>
      <c r="B9" s="230"/>
      <c r="C9" s="232"/>
      <c r="D9" s="234"/>
      <c r="E9" s="240"/>
      <c r="F9" s="237"/>
      <c r="G9" s="237"/>
      <c r="H9" s="237"/>
      <c r="I9" s="237"/>
      <c r="J9" s="238"/>
      <c r="K9" s="186"/>
      <c r="L9" s="175"/>
      <c r="M9" s="165"/>
      <c r="N9" s="165"/>
      <c r="O9" s="165"/>
      <c r="P9" s="165"/>
      <c r="Q9" s="165"/>
      <c r="R9" s="165"/>
      <c r="S9" s="165"/>
    </row>
    <row r="10" spans="1:19" ht="15.95" customHeight="1" x14ac:dyDescent="0.15">
      <c r="A10" s="165"/>
      <c r="B10" s="178" t="s">
        <v>131</v>
      </c>
      <c r="C10" s="179" t="s">
        <v>151</v>
      </c>
      <c r="D10" s="205">
        <v>2</v>
      </c>
      <c r="E10" s="188"/>
      <c r="F10" s="189" t="s">
        <v>139</v>
      </c>
      <c r="G10" s="189"/>
      <c r="H10" s="189"/>
      <c r="I10" s="189"/>
      <c r="J10" s="190"/>
      <c r="K10" s="191"/>
      <c r="L10" s="175"/>
      <c r="M10" s="165"/>
      <c r="N10" s="192" t="s">
        <v>133</v>
      </c>
      <c r="O10" s="192" t="s">
        <v>134</v>
      </c>
      <c r="P10" s="192"/>
      <c r="Q10" s="192"/>
      <c r="R10" s="192"/>
      <c r="S10" s="165"/>
    </row>
    <row r="11" spans="1:19" ht="15.95" customHeight="1" thickBot="1" x14ac:dyDescent="0.2">
      <c r="A11" s="165"/>
      <c r="B11" s="193" t="s">
        <v>115</v>
      </c>
      <c r="C11" s="194" t="s">
        <v>152</v>
      </c>
      <c r="D11" s="204">
        <v>1</v>
      </c>
      <c r="E11" s="195"/>
      <c r="F11" s="226" t="s">
        <v>132</v>
      </c>
      <c r="G11" s="227"/>
      <c r="H11" s="227"/>
      <c r="I11" s="227"/>
      <c r="J11" s="228"/>
      <c r="K11" s="174"/>
      <c r="L11" s="175"/>
      <c r="M11" s="165"/>
      <c r="N11" s="192"/>
      <c r="O11" s="192"/>
      <c r="P11" s="192"/>
      <c r="Q11" s="192"/>
      <c r="R11" s="192"/>
      <c r="S11" s="165"/>
    </row>
    <row r="12" spans="1:19" ht="15.95" customHeight="1" x14ac:dyDescent="0.15">
      <c r="A12" s="165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75"/>
      <c r="M12" s="165"/>
      <c r="N12" s="192"/>
      <c r="O12" s="192"/>
      <c r="P12" s="192"/>
      <c r="Q12" s="192"/>
      <c r="R12" s="192"/>
      <c r="S12" s="165"/>
    </row>
    <row r="13" spans="1:19" ht="15.95" customHeight="1" x14ac:dyDescent="0.15">
      <c r="A13" s="165"/>
      <c r="B13" s="203" t="s">
        <v>142</v>
      </c>
      <c r="C13" s="192"/>
      <c r="D13" s="192" t="s">
        <v>143</v>
      </c>
      <c r="E13" s="192"/>
      <c r="F13" s="192"/>
      <c r="G13" s="192"/>
      <c r="H13" s="192"/>
      <c r="I13" s="192"/>
      <c r="J13" s="192"/>
      <c r="K13" s="165"/>
      <c r="M13" s="165"/>
      <c r="N13" s="192"/>
      <c r="O13" s="192"/>
      <c r="P13" s="192"/>
      <c r="Q13" s="192"/>
      <c r="R13" s="192"/>
      <c r="S13" s="165"/>
    </row>
    <row r="14" spans="1:19" ht="15.95" customHeight="1" x14ac:dyDescent="0.15">
      <c r="A14" s="165"/>
      <c r="B14" s="192"/>
      <c r="C14" s="192"/>
      <c r="D14" s="192"/>
      <c r="E14" s="192"/>
      <c r="F14" s="192"/>
      <c r="G14" s="192"/>
      <c r="H14" s="192"/>
      <c r="I14" s="192"/>
      <c r="J14" s="192"/>
      <c r="K14" s="165"/>
      <c r="M14" s="165"/>
      <c r="N14" s="192"/>
      <c r="O14" s="192"/>
      <c r="P14" s="192"/>
      <c r="Q14" s="192"/>
      <c r="R14" s="192"/>
      <c r="S14" s="165"/>
    </row>
    <row r="15" spans="1:19" ht="15.95" customHeight="1" x14ac:dyDescent="0.15">
      <c r="A15" s="165"/>
      <c r="B15" s="192"/>
      <c r="C15" s="192"/>
      <c r="D15" s="192"/>
      <c r="E15" s="192"/>
      <c r="F15" s="192"/>
      <c r="G15" s="192"/>
      <c r="H15" s="192"/>
      <c r="I15" s="192"/>
      <c r="J15" s="192"/>
      <c r="K15" s="165"/>
      <c r="M15" s="165"/>
      <c r="N15" s="192"/>
      <c r="O15" s="192"/>
      <c r="P15" s="192"/>
      <c r="Q15" s="192"/>
      <c r="R15" s="192"/>
      <c r="S15" s="165"/>
    </row>
    <row r="16" spans="1:19" ht="15.95" customHeight="1" x14ac:dyDescent="0.15">
      <c r="A16" s="165"/>
      <c r="B16" s="192"/>
      <c r="C16" s="192"/>
      <c r="D16" s="192"/>
      <c r="E16" s="192"/>
      <c r="F16" s="192"/>
      <c r="G16" s="192"/>
      <c r="H16" s="192"/>
      <c r="I16" s="192"/>
      <c r="J16" s="192"/>
      <c r="K16" s="165"/>
      <c r="M16" s="165"/>
      <c r="N16" s="192"/>
      <c r="O16" s="192"/>
      <c r="P16" s="192"/>
      <c r="Q16" s="192"/>
      <c r="R16" s="192"/>
      <c r="S16" s="165"/>
    </row>
    <row r="17" spans="1:19" ht="15.95" customHeight="1" x14ac:dyDescent="0.15">
      <c r="A17" s="165"/>
      <c r="B17" s="192"/>
      <c r="C17" s="192"/>
      <c r="D17" s="192"/>
      <c r="E17" s="192"/>
      <c r="F17" s="192"/>
      <c r="G17" s="192"/>
      <c r="H17" s="192"/>
      <c r="I17" s="192"/>
      <c r="J17" s="192"/>
      <c r="K17" s="165"/>
      <c r="M17" s="165"/>
      <c r="N17" s="192"/>
      <c r="O17" s="192"/>
      <c r="P17" s="192"/>
      <c r="Q17" s="192"/>
      <c r="R17" s="192"/>
      <c r="S17" s="165"/>
    </row>
    <row r="18" spans="1:19" ht="15.95" customHeight="1" x14ac:dyDescent="0.15">
      <c r="A18" s="165"/>
      <c r="B18" s="192"/>
      <c r="C18" s="192"/>
      <c r="D18" s="192"/>
      <c r="E18" s="192"/>
      <c r="F18" s="192"/>
      <c r="G18" s="192"/>
      <c r="H18" s="192"/>
      <c r="I18" s="192"/>
      <c r="J18" s="192"/>
      <c r="K18" s="165"/>
      <c r="M18" s="165"/>
      <c r="N18" s="192"/>
      <c r="O18" s="192"/>
      <c r="P18" s="192"/>
      <c r="Q18" s="192"/>
      <c r="R18" s="192"/>
      <c r="S18" s="165"/>
    </row>
    <row r="19" spans="1:19" ht="15.95" customHeight="1" x14ac:dyDescent="0.15">
      <c r="A19" s="165"/>
      <c r="B19" s="192"/>
      <c r="C19" s="192"/>
      <c r="D19" s="192"/>
      <c r="E19" s="192"/>
      <c r="F19" s="192"/>
      <c r="G19" s="192"/>
      <c r="H19" s="192"/>
      <c r="I19" s="192"/>
      <c r="J19" s="192"/>
      <c r="K19" s="165"/>
      <c r="M19" s="165"/>
      <c r="N19" s="192"/>
      <c r="O19" s="192"/>
      <c r="P19" s="192"/>
      <c r="Q19" s="192"/>
      <c r="R19" s="192"/>
      <c r="S19" s="165"/>
    </row>
    <row r="20" spans="1:19" ht="4.5" customHeight="1" x14ac:dyDescent="0.15">
      <c r="A20" s="165"/>
      <c r="B20" s="192"/>
      <c r="C20" s="192"/>
      <c r="D20" s="192"/>
      <c r="E20" s="192"/>
      <c r="F20" s="192"/>
      <c r="G20" s="192"/>
      <c r="H20" s="192"/>
      <c r="I20" s="192"/>
      <c r="J20" s="192"/>
      <c r="K20" s="165"/>
      <c r="M20" s="165"/>
      <c r="N20" s="192"/>
      <c r="O20" s="192"/>
      <c r="P20" s="192"/>
      <c r="Q20" s="192"/>
      <c r="R20" s="192"/>
      <c r="S20" s="165"/>
    </row>
    <row r="21" spans="1:19" ht="15.95" customHeight="1" x14ac:dyDescent="0.15">
      <c r="A21" s="165"/>
      <c r="B21" s="192"/>
      <c r="C21" s="192"/>
      <c r="D21" s="192"/>
      <c r="E21" s="192"/>
      <c r="F21" s="192"/>
      <c r="G21" s="192"/>
      <c r="H21" s="192"/>
      <c r="I21" s="192"/>
      <c r="J21" s="192"/>
      <c r="K21" s="165"/>
      <c r="M21" s="165"/>
      <c r="N21" s="192"/>
      <c r="O21" s="192"/>
      <c r="P21" s="192"/>
      <c r="Q21" s="192"/>
      <c r="R21" s="192"/>
      <c r="S21" s="165"/>
    </row>
    <row r="22" spans="1:19" ht="15.95" customHeight="1" x14ac:dyDescent="0.15">
      <c r="A22" s="165"/>
      <c r="B22" s="192"/>
      <c r="C22" s="192"/>
      <c r="D22" s="192"/>
      <c r="E22" s="192"/>
      <c r="F22" s="192"/>
      <c r="G22" s="192"/>
      <c r="H22" s="192"/>
      <c r="I22" s="192"/>
      <c r="J22" s="192"/>
      <c r="K22" s="165"/>
      <c r="M22" s="165"/>
      <c r="N22" s="165"/>
      <c r="O22" s="165"/>
      <c r="P22" s="165"/>
      <c r="Q22" s="165"/>
      <c r="R22" s="165"/>
      <c r="S22" s="165"/>
    </row>
    <row r="23" spans="1:19" ht="15.95" customHeight="1" x14ac:dyDescent="0.15">
      <c r="A23" s="165"/>
      <c r="B23" s="192"/>
      <c r="C23" s="192"/>
      <c r="D23" s="192"/>
      <c r="E23" s="192"/>
      <c r="F23" s="192"/>
      <c r="G23" s="192"/>
      <c r="H23" s="192"/>
      <c r="I23" s="192"/>
      <c r="J23" s="192"/>
      <c r="K23" s="165"/>
      <c r="M23" s="165"/>
      <c r="N23" s="192" t="s">
        <v>135</v>
      </c>
      <c r="O23" s="192" t="s">
        <v>147</v>
      </c>
      <c r="P23" s="192"/>
      <c r="Q23" s="192"/>
      <c r="R23" s="192"/>
      <c r="S23" s="165"/>
    </row>
    <row r="24" spans="1:19" ht="15.95" customHeight="1" x14ac:dyDescent="0.15">
      <c r="A24" s="165"/>
      <c r="B24" s="192"/>
      <c r="C24" s="192"/>
      <c r="D24" s="192"/>
      <c r="E24" s="192"/>
      <c r="F24" s="192"/>
      <c r="G24" s="192"/>
      <c r="H24" s="192"/>
      <c r="I24" s="192"/>
      <c r="J24" s="192"/>
      <c r="K24" s="165"/>
      <c r="M24" s="165"/>
      <c r="N24" s="192"/>
      <c r="O24" s="192"/>
      <c r="P24" s="192"/>
      <c r="Q24" s="192"/>
      <c r="R24" s="192"/>
      <c r="S24" s="165"/>
    </row>
    <row r="25" spans="1:19" ht="15.95" customHeight="1" x14ac:dyDescent="0.15">
      <c r="A25" s="165"/>
      <c r="B25" s="192"/>
      <c r="C25" s="192"/>
      <c r="D25" s="192"/>
      <c r="E25" s="192"/>
      <c r="F25" s="192"/>
      <c r="G25" s="192"/>
      <c r="H25" s="192"/>
      <c r="I25" s="192"/>
      <c r="J25" s="192"/>
      <c r="K25" s="165"/>
      <c r="M25" s="165"/>
      <c r="N25" s="192"/>
      <c r="O25" s="192"/>
      <c r="P25" s="192"/>
      <c r="Q25" s="192"/>
      <c r="R25" s="192"/>
      <c r="S25" s="165"/>
    </row>
    <row r="26" spans="1:19" ht="15.95" customHeight="1" x14ac:dyDescent="0.15">
      <c r="A26" s="165"/>
      <c r="B26" s="192"/>
      <c r="C26" s="192"/>
      <c r="D26" s="192"/>
      <c r="E26" s="192"/>
      <c r="F26" s="192"/>
      <c r="G26" s="192"/>
      <c r="H26" s="192"/>
      <c r="I26" s="192"/>
      <c r="J26" s="192"/>
      <c r="K26" s="165"/>
      <c r="M26" s="165"/>
      <c r="N26" s="192"/>
      <c r="O26" s="192"/>
      <c r="P26" s="192"/>
      <c r="Q26" s="192"/>
      <c r="R26" s="192"/>
      <c r="S26" s="165"/>
    </row>
    <row r="27" spans="1:19" ht="15.95" customHeight="1" x14ac:dyDescent="0.15">
      <c r="A27" s="165"/>
      <c r="B27" s="192"/>
      <c r="C27" s="192"/>
      <c r="D27" s="192"/>
      <c r="E27" s="192"/>
      <c r="F27" s="192"/>
      <c r="G27" s="192"/>
      <c r="H27" s="192"/>
      <c r="I27" s="192"/>
      <c r="J27" s="192"/>
      <c r="K27" s="165"/>
      <c r="M27" s="165"/>
      <c r="N27" s="192"/>
      <c r="O27" s="192"/>
      <c r="P27" s="192"/>
      <c r="Q27" s="192"/>
      <c r="R27" s="192"/>
      <c r="S27" s="165"/>
    </row>
    <row r="28" spans="1:19" ht="15.95" customHeight="1" x14ac:dyDescent="0.15">
      <c r="A28" s="165"/>
      <c r="B28" s="192"/>
      <c r="C28" s="192"/>
      <c r="D28" s="192"/>
      <c r="E28" s="192"/>
      <c r="F28" s="192"/>
      <c r="G28" s="192"/>
      <c r="H28" s="192"/>
      <c r="I28" s="192"/>
      <c r="J28" s="192"/>
      <c r="K28" s="165"/>
      <c r="M28" s="165"/>
      <c r="N28" s="192"/>
      <c r="O28" s="192"/>
      <c r="P28" s="192"/>
      <c r="Q28" s="192"/>
      <c r="R28" s="192"/>
      <c r="S28" s="165"/>
    </row>
    <row r="29" spans="1:19" ht="15.95" customHeight="1" x14ac:dyDescent="0.15">
      <c r="A29" s="165"/>
      <c r="B29" s="192"/>
      <c r="C29" s="192"/>
      <c r="D29" s="192"/>
      <c r="E29" s="192"/>
      <c r="F29" s="192"/>
      <c r="G29" s="192"/>
      <c r="H29" s="192"/>
      <c r="I29" s="192"/>
      <c r="J29" s="192"/>
      <c r="K29" s="165"/>
      <c r="M29" s="165"/>
      <c r="N29" s="192"/>
      <c r="O29" s="192"/>
      <c r="P29" s="192"/>
      <c r="Q29" s="192"/>
      <c r="R29" s="192"/>
      <c r="S29" s="165"/>
    </row>
    <row r="30" spans="1:19" ht="15.95" customHeight="1" x14ac:dyDescent="0.15">
      <c r="A30" s="165"/>
      <c r="B30" s="192"/>
      <c r="C30" s="192"/>
      <c r="D30" s="192"/>
      <c r="E30" s="192"/>
      <c r="F30" s="192"/>
      <c r="G30" s="192"/>
      <c r="H30" s="192"/>
      <c r="I30" s="192"/>
      <c r="J30" s="192"/>
      <c r="K30" s="165"/>
      <c r="M30" s="165"/>
      <c r="N30" s="192"/>
      <c r="O30" s="192"/>
      <c r="P30" s="192"/>
      <c r="Q30" s="192"/>
      <c r="R30" s="192"/>
      <c r="S30" s="165"/>
    </row>
    <row r="31" spans="1:19" ht="15.95" customHeight="1" x14ac:dyDescent="0.15">
      <c r="A31" s="165"/>
      <c r="B31" s="192"/>
      <c r="C31" s="192"/>
      <c r="D31" s="192"/>
      <c r="E31" s="192"/>
      <c r="F31" s="192"/>
      <c r="G31" s="192"/>
      <c r="H31" s="192"/>
      <c r="I31" s="192"/>
      <c r="J31" s="192"/>
      <c r="K31" s="165"/>
      <c r="M31" s="165"/>
      <c r="N31" s="192"/>
      <c r="O31" s="192"/>
      <c r="P31" s="192"/>
      <c r="Q31" s="192"/>
      <c r="R31" s="192"/>
      <c r="S31" s="165"/>
    </row>
    <row r="32" spans="1:19" ht="15.95" customHeight="1" x14ac:dyDescent="0.15">
      <c r="A32" s="165"/>
      <c r="B32" s="192"/>
      <c r="C32" s="192"/>
      <c r="D32" s="192"/>
      <c r="E32" s="192"/>
      <c r="F32" s="192"/>
      <c r="G32" s="192"/>
      <c r="H32" s="192"/>
      <c r="I32" s="192"/>
      <c r="J32" s="192"/>
      <c r="K32" s="165"/>
      <c r="M32" s="165"/>
      <c r="N32" s="192"/>
      <c r="O32" s="192"/>
      <c r="P32" s="192"/>
      <c r="Q32" s="192"/>
      <c r="R32" s="192"/>
      <c r="S32" s="165"/>
    </row>
    <row r="33" spans="1:19" ht="6.75" customHeight="1" x14ac:dyDescent="0.15">
      <c r="A33" s="165"/>
      <c r="B33" s="192"/>
      <c r="C33" s="192"/>
      <c r="D33" s="192"/>
      <c r="E33" s="192"/>
      <c r="F33" s="192"/>
      <c r="G33" s="192"/>
      <c r="H33" s="192"/>
      <c r="I33" s="192"/>
      <c r="J33" s="192"/>
      <c r="K33" s="165"/>
      <c r="M33" s="165"/>
      <c r="N33" s="192"/>
      <c r="O33" s="192"/>
      <c r="P33" s="192"/>
      <c r="Q33" s="192"/>
      <c r="R33" s="192"/>
      <c r="S33" s="165"/>
    </row>
    <row r="34" spans="1:19" x14ac:dyDescent="0.15">
      <c r="A34" s="165"/>
      <c r="B34" s="192"/>
      <c r="C34" s="192"/>
      <c r="D34" s="192"/>
      <c r="E34" s="192"/>
      <c r="F34" s="192"/>
      <c r="G34" s="192"/>
      <c r="H34" s="192"/>
      <c r="I34" s="192"/>
      <c r="J34" s="192"/>
      <c r="K34" s="165"/>
      <c r="M34" s="165"/>
      <c r="N34" s="192"/>
      <c r="O34" s="192"/>
      <c r="P34" s="192"/>
      <c r="Q34" s="192"/>
      <c r="R34" s="192"/>
      <c r="S34" s="165"/>
    </row>
    <row r="35" spans="1:19" ht="9" customHeight="1" x14ac:dyDescent="0.1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M35" s="165"/>
      <c r="N35" s="165"/>
      <c r="O35" s="165"/>
      <c r="P35" s="165"/>
      <c r="Q35" s="165"/>
      <c r="R35" s="165"/>
      <c r="S35" s="165"/>
    </row>
  </sheetData>
  <sheetProtection algorithmName="SHA-512" hashValue="kEgQa1E9YMUGG/Zy0AiPRRx5+1HIGgJgwXNEYPNhAiZfRrTDOqB5dIyUuOmPjqdkGCmBDCnETNg2PDx+YNhSEA==" saltValue="Vvtz2iHeAxYPWnG0tKDDGA==" spinCount="100000" sheet="1" objects="1" scenarios="1" selectLockedCells="1"/>
  <protectedRanges>
    <protectedRange algorithmName="SHA-512" hashValue="mCJX49++lD02ReDx+tt+FmEu1T8/i/WvQyMY+CyZO5n1BmowbtBkKWzf34rtM0iuvIGKOfiJU4wgk2fuOk+ABA==" saltValue="fFGR6OPo0QltsLjemy7ObA==" spinCount="100000" sqref="D6:D11" name="範囲1"/>
  </protectedRanges>
  <mergeCells count="17">
    <mergeCell ref="B2:J2"/>
    <mergeCell ref="N2:R2"/>
    <mergeCell ref="B3:J3"/>
    <mergeCell ref="N3:R3"/>
    <mergeCell ref="A1:S1"/>
    <mergeCell ref="F11:J11"/>
    <mergeCell ref="B8:B9"/>
    <mergeCell ref="C8:C9"/>
    <mergeCell ref="D8:D9"/>
    <mergeCell ref="F8:J9"/>
    <mergeCell ref="E8:E9"/>
    <mergeCell ref="O4:Q4"/>
    <mergeCell ref="F5:J5"/>
    <mergeCell ref="F6:J6"/>
    <mergeCell ref="F7:J7"/>
    <mergeCell ref="B4:C4"/>
    <mergeCell ref="E4:J4"/>
  </mergeCells>
  <phoneticPr fontId="2"/>
  <pageMargins left="0.39370078740157483" right="0.39370078740157483" top="0.74803149606299213" bottom="0" header="0.31496062992125984" footer="0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F6A630-90FF-4744-ABA8-E35AB27C9B3B}">
          <x14:formula1>
            <xm:f>車輪型式!$A$2:$A$8</xm:f>
          </x14:formula1>
          <xm:sqref>O4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Q67"/>
  <sheetViews>
    <sheetView topLeftCell="A7" zoomScale="90" zoomScaleNormal="90" workbookViewId="0">
      <selection activeCell="C5" sqref="C5"/>
    </sheetView>
  </sheetViews>
  <sheetFormatPr defaultRowHeight="13.5" x14ac:dyDescent="0.15"/>
  <cols>
    <col min="1" max="3" width="9" style="134"/>
    <col min="4" max="10" width="8.75" style="134" customWidth="1"/>
    <col min="11" max="16384" width="9" style="134"/>
  </cols>
  <sheetData>
    <row r="1" spans="1:4" x14ac:dyDescent="0.15">
      <c r="A1" s="134" t="s">
        <v>111</v>
      </c>
      <c r="C1" s="134">
        <f>車輪モータの選定!D5</f>
        <v>4</v>
      </c>
    </row>
    <row r="2" spans="1:4" x14ac:dyDescent="0.15">
      <c r="A2" s="248" t="s">
        <v>10</v>
      </c>
      <c r="B2" s="249"/>
      <c r="C2" s="134">
        <f>車輪モータの選定!D6</f>
        <v>2</v>
      </c>
    </row>
    <row r="3" spans="1:4" x14ac:dyDescent="0.15">
      <c r="A3" s="248" t="s">
        <v>5</v>
      </c>
      <c r="B3" s="249"/>
      <c r="C3" s="134">
        <f>車輪モータの選定!D8</f>
        <v>0.03</v>
      </c>
    </row>
    <row r="4" spans="1:4" x14ac:dyDescent="0.15">
      <c r="A4" s="248" t="s">
        <v>7</v>
      </c>
      <c r="B4" s="249"/>
      <c r="C4" s="134">
        <f>車輪モータの選定!D7</f>
        <v>1.5</v>
      </c>
    </row>
    <row r="5" spans="1:4" x14ac:dyDescent="0.15">
      <c r="A5" s="248" t="s">
        <v>9</v>
      </c>
      <c r="B5" s="249"/>
      <c r="C5" s="134">
        <f>車輪モータの選定!D10</f>
        <v>2</v>
      </c>
    </row>
    <row r="6" spans="1:4" x14ac:dyDescent="0.15">
      <c r="A6" s="250" t="s">
        <v>84</v>
      </c>
      <c r="B6" s="251"/>
      <c r="C6" s="134">
        <f>車輪モータの選定!D11</f>
        <v>1</v>
      </c>
    </row>
    <row r="7" spans="1:4" x14ac:dyDescent="0.15">
      <c r="A7" s="141"/>
      <c r="B7" s="141"/>
      <c r="C7" s="141"/>
    </row>
    <row r="8" spans="1:4" ht="14.25" thickBot="1" x14ac:dyDescent="0.2">
      <c r="C8" s="142"/>
    </row>
    <row r="9" spans="1:4" ht="14.25" thickBot="1" x14ac:dyDescent="0.2">
      <c r="A9" s="160" t="str">
        <f>車輪モータの選定!O4</f>
        <v>AWRⅡ030B-P</v>
      </c>
      <c r="B9" s="161"/>
      <c r="D9" s="162">
        <f>VLOOKUP(A9,テーブル1[],2)</f>
        <v>6</v>
      </c>
    </row>
    <row r="10" spans="1:4" ht="14.25" thickTop="1" x14ac:dyDescent="0.15">
      <c r="A10" s="143" t="s">
        <v>35</v>
      </c>
      <c r="B10" s="144"/>
      <c r="C10" s="145">
        <f>VLOOKUP($D10,必要トルク計算書!$A$59:$Q$69,$D$9)</f>
        <v>2000</v>
      </c>
      <c r="D10">
        <v>1</v>
      </c>
    </row>
    <row r="11" spans="1:4" x14ac:dyDescent="0.15">
      <c r="A11" s="146" t="s">
        <v>33</v>
      </c>
      <c r="B11" s="147"/>
      <c r="C11" s="148">
        <f>VLOOKUP($D11,必要トルク計算書!$A$59:$Q$69,$D$9)</f>
        <v>18</v>
      </c>
      <c r="D11">
        <f>D10+1</f>
        <v>2</v>
      </c>
    </row>
    <row r="12" spans="1:4" x14ac:dyDescent="0.15">
      <c r="A12" s="149" t="s">
        <v>66</v>
      </c>
      <c r="B12" s="150"/>
      <c r="C12" s="151">
        <f>VLOOKUP($D12,必要トルク計算書!$A$59:$Q$69,$D$9)</f>
        <v>2.94</v>
      </c>
      <c r="D12">
        <f t="shared" ref="D12:D20" si="0">D11+1</f>
        <v>3</v>
      </c>
    </row>
    <row r="13" spans="1:4" x14ac:dyDescent="0.15">
      <c r="A13" s="152" t="s">
        <v>38</v>
      </c>
      <c r="B13" s="150"/>
      <c r="C13" s="151">
        <f>VLOOKUP($D13,必要トルク計算書!$A$59:$Q$69,$D$9)</f>
        <v>0.2</v>
      </c>
      <c r="D13">
        <f t="shared" si="0"/>
        <v>4</v>
      </c>
    </row>
    <row r="14" spans="1:4" x14ac:dyDescent="0.15">
      <c r="A14" s="152" t="s">
        <v>67</v>
      </c>
      <c r="B14" s="150"/>
      <c r="C14" s="151">
        <f>VLOOKUP($D14,必要トルク計算書!$A$59:$Q$69,$D$9)</f>
        <v>0.81</v>
      </c>
      <c r="D14">
        <f t="shared" si="0"/>
        <v>5</v>
      </c>
    </row>
    <row r="15" spans="1:4" x14ac:dyDescent="0.15">
      <c r="A15" s="152"/>
      <c r="B15" s="150"/>
      <c r="C15" s="151"/>
      <c r="D15">
        <f t="shared" si="0"/>
        <v>6</v>
      </c>
    </row>
    <row r="16" spans="1:4" x14ac:dyDescent="0.15">
      <c r="A16" s="152" t="s">
        <v>68</v>
      </c>
      <c r="B16" s="150"/>
      <c r="C16" s="151">
        <f>VLOOKUP($D16,必要トルク計算書!$A$59:$Q$69,$D$9)</f>
        <v>1.0920000000000001E-3</v>
      </c>
      <c r="D16">
        <f t="shared" si="0"/>
        <v>7</v>
      </c>
    </row>
    <row r="17" spans="1:17" ht="14.25" thickBot="1" x14ac:dyDescent="0.2">
      <c r="A17" s="153" t="s">
        <v>69</v>
      </c>
      <c r="B17" s="154"/>
      <c r="C17" s="155">
        <f>VLOOKUP($D17,必要トルク計算書!$A$59:$Q$69,$D$9)</f>
        <v>0</v>
      </c>
      <c r="D17">
        <f t="shared" si="0"/>
        <v>8</v>
      </c>
    </row>
    <row r="18" spans="1:17" x14ac:dyDescent="0.15">
      <c r="A18" s="156" t="s">
        <v>109</v>
      </c>
      <c r="B18" s="157"/>
      <c r="C18" s="158">
        <f>VLOOKUP($D18,必要トルク計算書!$A$59:$Q$69,$D$9)</f>
        <v>4900</v>
      </c>
      <c r="D18">
        <f t="shared" si="0"/>
        <v>9</v>
      </c>
      <c r="H18" s="159"/>
    </row>
    <row r="19" spans="1:17" x14ac:dyDescent="0.15">
      <c r="A19" s="152" t="s">
        <v>71</v>
      </c>
      <c r="B19" s="150"/>
      <c r="C19" s="151">
        <f>VLOOKUP($D19,必要トルク計算書!$A$59:$Q$69,$D$9)</f>
        <v>0.8</v>
      </c>
      <c r="D19">
        <f t="shared" si="0"/>
        <v>10</v>
      </c>
    </row>
    <row r="20" spans="1:17" ht="14.25" thickBot="1" x14ac:dyDescent="0.2">
      <c r="A20" s="153" t="s">
        <v>112</v>
      </c>
      <c r="B20" s="154"/>
      <c r="C20" s="155">
        <f>C18*C19*C1/9.8</f>
        <v>1599.9999999999998</v>
      </c>
      <c r="D20">
        <f t="shared" si="0"/>
        <v>11</v>
      </c>
    </row>
    <row r="21" spans="1:17" x14ac:dyDescent="0.15">
      <c r="B21" s="135"/>
      <c r="C21" s="135"/>
      <c r="D21" s="135"/>
    </row>
    <row r="22" spans="1:17" ht="15.75" x14ac:dyDescent="0.15">
      <c r="B22" s="136" t="s">
        <v>70</v>
      </c>
      <c r="C22" s="136" t="s">
        <v>42</v>
      </c>
      <c r="D22" s="136" t="str">
        <f>CONCATENATE("ta:",D46)</f>
        <v>ta:1</v>
      </c>
      <c r="E22" s="136" t="str">
        <f t="shared" ref="E22:G22" si="1">CONCATENATE("ta:",E46)</f>
        <v>ta:2</v>
      </c>
      <c r="F22" s="136" t="str">
        <f t="shared" si="1"/>
        <v>ta:4</v>
      </c>
      <c r="G22" s="136" t="str">
        <f t="shared" si="1"/>
        <v>ta:8</v>
      </c>
      <c r="H22" s="136"/>
      <c r="I22" s="136"/>
      <c r="K22" s="136" t="s">
        <v>42</v>
      </c>
      <c r="L22" s="136" t="str">
        <f>CONCATENATE("θ:",L46)</f>
        <v>θ:2</v>
      </c>
      <c r="M22" s="136" t="str">
        <f>CONCATENATE("θ:",M46)</f>
        <v>θ:1</v>
      </c>
      <c r="N22" s="136" t="str">
        <f t="shared" ref="N22:O22" si="2">CONCATENATE("θ:",N46)</f>
        <v>θ:0.5</v>
      </c>
      <c r="O22" s="136" t="str">
        <f t="shared" si="2"/>
        <v>θ:0</v>
      </c>
      <c r="P22" s="136"/>
      <c r="Q22" s="136"/>
    </row>
    <row r="23" spans="1:17" x14ac:dyDescent="0.15">
      <c r="A23" s="134">
        <v>1</v>
      </c>
      <c r="B23" s="137">
        <f t="shared" ref="B23:B43" si="3">$C23*C$13^2*(1/C$11)^2/$C$2+C$16+C$17</f>
        <v>6.0302716049382716E-3</v>
      </c>
      <c r="C23" s="136">
        <f t="shared" ref="C23:C43" si="4">A23*C$20/20</f>
        <v>79.999999999999986</v>
      </c>
      <c r="D23" s="138">
        <f>D47*$C$45</f>
        <v>69.813170079773187</v>
      </c>
      <c r="E23" s="138">
        <f t="shared" ref="D23:G32" si="5">E47*$C$45</f>
        <v>69.813170079773187</v>
      </c>
      <c r="F23" s="138">
        <f t="shared" si="5"/>
        <v>69.813170079773187</v>
      </c>
      <c r="G23" s="138">
        <f t="shared" si="5"/>
        <v>69.813170079773187</v>
      </c>
      <c r="H23" s="138"/>
      <c r="I23" s="138"/>
      <c r="K23" s="136">
        <f>C23</f>
        <v>79.999999999999986</v>
      </c>
      <c r="L23" s="138">
        <f>L47*$C$45</f>
        <v>69.813170079773187</v>
      </c>
      <c r="M23" s="138">
        <f t="shared" ref="M23:O23" si="6">M47*$C$45</f>
        <v>69.813170079773187</v>
      </c>
      <c r="N23" s="138">
        <f t="shared" si="6"/>
        <v>69.813170079773187</v>
      </c>
      <c r="O23" s="138">
        <f t="shared" si="6"/>
        <v>69.813170079773187</v>
      </c>
      <c r="P23" s="138"/>
      <c r="Q23" s="138"/>
    </row>
    <row r="24" spans="1:17" x14ac:dyDescent="0.15">
      <c r="A24" s="134">
        <f>A23+1</f>
        <v>2</v>
      </c>
      <c r="B24" s="137">
        <f t="shared" si="3"/>
        <v>1.0968543209876544E-2</v>
      </c>
      <c r="C24" s="136">
        <f t="shared" si="4"/>
        <v>159.99999999999997</v>
      </c>
      <c r="D24" s="138">
        <f t="shared" si="5"/>
        <v>69.813170079773187</v>
      </c>
      <c r="E24" s="138">
        <f t="shared" si="5"/>
        <v>69.813170079773187</v>
      </c>
      <c r="F24" s="138">
        <f t="shared" si="5"/>
        <v>69.813170079773187</v>
      </c>
      <c r="G24" s="138">
        <f t="shared" si="5"/>
        <v>69.813170079773187</v>
      </c>
      <c r="H24" s="138"/>
      <c r="I24" s="138"/>
      <c r="K24" s="136">
        <f t="shared" ref="K24:K67" si="7">C24</f>
        <v>159.99999999999997</v>
      </c>
      <c r="L24" s="138">
        <f t="shared" ref="L24:O24" si="8">L48*$C$45</f>
        <v>69.813170079773187</v>
      </c>
      <c r="M24" s="138">
        <f t="shared" si="8"/>
        <v>69.813170079773187</v>
      </c>
      <c r="N24" s="138">
        <f t="shared" si="8"/>
        <v>69.813170079773187</v>
      </c>
      <c r="O24" s="138">
        <f t="shared" si="8"/>
        <v>69.813170079773187</v>
      </c>
      <c r="P24" s="138"/>
      <c r="Q24" s="138"/>
    </row>
    <row r="25" spans="1:17" x14ac:dyDescent="0.15">
      <c r="A25" s="134">
        <f t="shared" ref="A25:A43" si="9">A24+1</f>
        <v>3</v>
      </c>
      <c r="B25" s="137">
        <f t="shared" si="3"/>
        <v>1.5906814814814815E-2</v>
      </c>
      <c r="C25" s="136">
        <f t="shared" si="4"/>
        <v>239.99999999999994</v>
      </c>
      <c r="D25" s="138">
        <f t="shared" si="5"/>
        <v>69.813170079773187</v>
      </c>
      <c r="E25" s="138">
        <f t="shared" si="5"/>
        <v>69.813170079773187</v>
      </c>
      <c r="F25" s="138">
        <f t="shared" si="5"/>
        <v>69.813170079773187</v>
      </c>
      <c r="G25" s="138">
        <f t="shared" si="5"/>
        <v>69.813170079773187</v>
      </c>
      <c r="H25" s="138"/>
      <c r="I25" s="138"/>
      <c r="K25" s="136">
        <f t="shared" si="7"/>
        <v>239.99999999999994</v>
      </c>
      <c r="L25" s="138">
        <f t="shared" ref="L25:O25" si="10">L49*$C$45</f>
        <v>69.813170079773187</v>
      </c>
      <c r="M25" s="138">
        <f t="shared" si="10"/>
        <v>69.813170079773187</v>
      </c>
      <c r="N25" s="138">
        <f t="shared" si="10"/>
        <v>69.813170079773187</v>
      </c>
      <c r="O25" s="138">
        <f t="shared" si="10"/>
        <v>69.813170079773187</v>
      </c>
      <c r="P25" s="138"/>
      <c r="Q25" s="138"/>
    </row>
    <row r="26" spans="1:17" x14ac:dyDescent="0.15">
      <c r="A26" s="134">
        <f t="shared" si="9"/>
        <v>4</v>
      </c>
      <c r="B26" s="137">
        <f t="shared" si="3"/>
        <v>2.0845086419753085E-2</v>
      </c>
      <c r="C26" s="136">
        <f t="shared" si="4"/>
        <v>319.99999999999994</v>
      </c>
      <c r="D26" s="138">
        <f t="shared" si="5"/>
        <v>69.813170079773187</v>
      </c>
      <c r="E26" s="138">
        <f t="shared" si="5"/>
        <v>69.813170079773187</v>
      </c>
      <c r="F26" s="138">
        <f t="shared" si="5"/>
        <v>69.813170079773187</v>
      </c>
      <c r="G26" s="138">
        <f t="shared" si="5"/>
        <v>69.813170079773187</v>
      </c>
      <c r="H26" s="138"/>
      <c r="I26" s="138"/>
      <c r="K26" s="136">
        <f t="shared" si="7"/>
        <v>319.99999999999994</v>
      </c>
      <c r="L26" s="138">
        <f t="shared" ref="L26:O26" si="11">L50*$C$45</f>
        <v>69.813170079773187</v>
      </c>
      <c r="M26" s="138">
        <f t="shared" si="11"/>
        <v>69.813170079773187</v>
      </c>
      <c r="N26" s="138">
        <f t="shared" si="11"/>
        <v>69.813170079773187</v>
      </c>
      <c r="O26" s="138">
        <f t="shared" si="11"/>
        <v>69.813170079773187</v>
      </c>
      <c r="P26" s="138"/>
      <c r="Q26" s="138"/>
    </row>
    <row r="27" spans="1:17" x14ac:dyDescent="0.15">
      <c r="A27" s="134">
        <f t="shared" si="9"/>
        <v>5</v>
      </c>
      <c r="B27" s="137">
        <f t="shared" si="3"/>
        <v>2.5783358024691356E-2</v>
      </c>
      <c r="C27" s="136">
        <f t="shared" si="4"/>
        <v>399.99999999999994</v>
      </c>
      <c r="D27" s="138">
        <f t="shared" si="5"/>
        <v>69.813170079773187</v>
      </c>
      <c r="E27" s="138">
        <f t="shared" si="5"/>
        <v>69.813170079773187</v>
      </c>
      <c r="F27" s="138">
        <f t="shared" si="5"/>
        <v>69.813170079773187</v>
      </c>
      <c r="G27" s="138">
        <f t="shared" si="5"/>
        <v>69.813170079773187</v>
      </c>
      <c r="H27" s="138"/>
      <c r="I27" s="138"/>
      <c r="K27" s="136">
        <f t="shared" si="7"/>
        <v>399.99999999999994</v>
      </c>
      <c r="L27" s="138">
        <f t="shared" ref="L27:O27" si="12">L51*$C$45</f>
        <v>69.813170079773187</v>
      </c>
      <c r="M27" s="138">
        <f t="shared" si="12"/>
        <v>69.813170079773187</v>
      </c>
      <c r="N27" s="138">
        <f t="shared" si="12"/>
        <v>69.813170079773187</v>
      </c>
      <c r="O27" s="138">
        <f t="shared" si="12"/>
        <v>69.813170079773187</v>
      </c>
      <c r="P27" s="138"/>
      <c r="Q27" s="138"/>
    </row>
    <row r="28" spans="1:17" x14ac:dyDescent="0.15">
      <c r="A28" s="134">
        <f t="shared" si="9"/>
        <v>6</v>
      </c>
      <c r="B28" s="137">
        <f t="shared" si="3"/>
        <v>3.0721629629629627E-2</v>
      </c>
      <c r="C28" s="136">
        <f t="shared" si="4"/>
        <v>479.99999999999989</v>
      </c>
      <c r="D28" s="138">
        <f t="shared" si="5"/>
        <v>59.566194348184844</v>
      </c>
      <c r="E28" s="138">
        <f t="shared" si="5"/>
        <v>69.813170079773187</v>
      </c>
      <c r="F28" s="138">
        <f t="shared" si="5"/>
        <v>69.813170079773187</v>
      </c>
      <c r="G28" s="138">
        <f t="shared" si="5"/>
        <v>69.813170079773187</v>
      </c>
      <c r="H28" s="138"/>
      <c r="I28" s="138"/>
      <c r="K28" s="136">
        <f t="shared" si="7"/>
        <v>479.99999999999989</v>
      </c>
      <c r="L28" s="138">
        <f t="shared" ref="L28:O28" si="13">L52*$C$45</f>
        <v>59.566194348184844</v>
      </c>
      <c r="M28" s="138">
        <f t="shared" si="13"/>
        <v>69.813170079773187</v>
      </c>
      <c r="N28" s="138">
        <f t="shared" si="13"/>
        <v>69.813170079773187</v>
      </c>
      <c r="O28" s="138">
        <f t="shared" si="13"/>
        <v>69.813170079773187</v>
      </c>
      <c r="P28" s="138"/>
      <c r="Q28" s="138"/>
    </row>
    <row r="29" spans="1:17" x14ac:dyDescent="0.15">
      <c r="A29" s="134">
        <f t="shared" si="9"/>
        <v>7</v>
      </c>
      <c r="B29" s="137">
        <f t="shared" si="3"/>
        <v>3.5659901234567901E-2</v>
      </c>
      <c r="C29" s="136">
        <f t="shared" si="4"/>
        <v>559.99999999999989</v>
      </c>
      <c r="D29" s="138">
        <f t="shared" si="5"/>
        <v>41.516300774655896</v>
      </c>
      <c r="E29" s="138">
        <f t="shared" si="5"/>
        <v>69.813170079773187</v>
      </c>
      <c r="F29" s="138">
        <f t="shared" si="5"/>
        <v>69.813170079773187</v>
      </c>
      <c r="G29" s="138">
        <f t="shared" si="5"/>
        <v>69.813170079773187</v>
      </c>
      <c r="H29" s="138"/>
      <c r="I29" s="138"/>
      <c r="K29" s="136">
        <f t="shared" si="7"/>
        <v>559.99999999999989</v>
      </c>
      <c r="L29" s="138">
        <f t="shared" ref="L29:O29" si="14">L53*$C$45</f>
        <v>41.516300774655896</v>
      </c>
      <c r="M29" s="138">
        <f t="shared" si="14"/>
        <v>59.950826265851362</v>
      </c>
      <c r="N29" s="138">
        <f t="shared" si="14"/>
        <v>69.174171320294519</v>
      </c>
      <c r="O29" s="138">
        <f t="shared" si="14"/>
        <v>69.813170079773187</v>
      </c>
      <c r="P29" s="138"/>
      <c r="Q29" s="138"/>
    </row>
    <row r="30" spans="1:17" x14ac:dyDescent="0.15">
      <c r="A30" s="134">
        <f t="shared" si="9"/>
        <v>8</v>
      </c>
      <c r="B30" s="137">
        <f t="shared" si="3"/>
        <v>4.0598172839506175E-2</v>
      </c>
      <c r="C30" s="136">
        <f t="shared" si="4"/>
        <v>639.99999999999989</v>
      </c>
      <c r="D30" s="138">
        <f t="shared" si="5"/>
        <v>27.857505158105837</v>
      </c>
      <c r="E30" s="138">
        <f t="shared" si="5"/>
        <v>55.715010316211675</v>
      </c>
      <c r="F30" s="138">
        <f t="shared" si="5"/>
        <v>69.813170079773187</v>
      </c>
      <c r="G30" s="138">
        <f t="shared" si="5"/>
        <v>69.813170079773187</v>
      </c>
      <c r="H30" s="138"/>
      <c r="I30" s="138"/>
      <c r="K30" s="136">
        <f t="shared" si="7"/>
        <v>639.99999999999989</v>
      </c>
      <c r="L30" s="138">
        <f t="shared" ref="L30:O30" si="15">L54*$C$45</f>
        <v>27.857505158105837</v>
      </c>
      <c r="M30" s="138">
        <f t="shared" si="15"/>
        <v>46.362866004084268</v>
      </c>
      <c r="N30" s="138">
        <f t="shared" si="15"/>
        <v>55.621652107418505</v>
      </c>
      <c r="O30" s="138">
        <f t="shared" si="15"/>
        <v>64.883568638467821</v>
      </c>
      <c r="P30" s="138"/>
      <c r="Q30" s="138"/>
    </row>
    <row r="31" spans="1:17" x14ac:dyDescent="0.15">
      <c r="A31" s="134">
        <f t="shared" si="9"/>
        <v>9</v>
      </c>
      <c r="B31" s="137">
        <f t="shared" si="3"/>
        <v>4.5536444444444449E-2</v>
      </c>
      <c r="C31" s="136">
        <f t="shared" si="4"/>
        <v>719.99999999999989</v>
      </c>
      <c r="D31" s="138">
        <f t="shared" si="5"/>
        <v>17.161208848376113</v>
      </c>
      <c r="E31" s="138">
        <f t="shared" si="5"/>
        <v>34.322417696752225</v>
      </c>
      <c r="F31" s="138">
        <f t="shared" si="5"/>
        <v>68.644835393504451</v>
      </c>
      <c r="G31" s="138">
        <f t="shared" si="5"/>
        <v>69.813170079773187</v>
      </c>
      <c r="H31" s="138"/>
      <c r="I31" s="138"/>
      <c r="K31" s="136">
        <f t="shared" si="7"/>
        <v>719.99999999999989</v>
      </c>
      <c r="L31" s="138">
        <f t="shared" ref="L31:O31" si="16">L55*$C$45</f>
        <v>17.161208848376113</v>
      </c>
      <c r="M31" s="138">
        <f t="shared" si="16"/>
        <v>35.722041345386884</v>
      </c>
      <c r="N31" s="138">
        <f t="shared" si="16"/>
        <v>45.008581576618546</v>
      </c>
      <c r="O31" s="138">
        <f t="shared" si="16"/>
        <v>54.298261619332251</v>
      </c>
      <c r="P31" s="138"/>
      <c r="Q31" s="138"/>
    </row>
    <row r="32" spans="1:17" x14ac:dyDescent="0.15">
      <c r="A32" s="134">
        <f t="shared" si="9"/>
        <v>10</v>
      </c>
      <c r="B32" s="137">
        <f t="shared" si="3"/>
        <v>5.0474716049382716E-2</v>
      </c>
      <c r="C32" s="136">
        <f t="shared" si="4"/>
        <v>799.99999999999989</v>
      </c>
      <c r="D32" s="138">
        <f t="shared" si="5"/>
        <v>8.5578897945328993</v>
      </c>
      <c r="E32" s="138">
        <f t="shared" si="5"/>
        <v>17.115779589065799</v>
      </c>
      <c r="F32" s="138">
        <f t="shared" si="5"/>
        <v>34.231559178131597</v>
      </c>
      <c r="G32" s="138">
        <f t="shared" si="5"/>
        <v>68.463118356263195</v>
      </c>
      <c r="H32" s="138"/>
      <c r="I32" s="138"/>
      <c r="K32" s="136">
        <f t="shared" si="7"/>
        <v>799.99999999999989</v>
      </c>
      <c r="L32" s="138">
        <f t="shared" ref="L32:O32" si="17">L56*$C$45</f>
        <v>8.5578897945328993</v>
      </c>
      <c r="M32" s="138">
        <f t="shared" si="17"/>
        <v>27.163339633701721</v>
      </c>
      <c r="N32" s="138">
        <f t="shared" si="17"/>
        <v>36.472203257110287</v>
      </c>
      <c r="O32" s="138">
        <f t="shared" si="17"/>
        <v>45.784214239617299</v>
      </c>
      <c r="P32" s="138"/>
      <c r="Q32" s="138"/>
    </row>
    <row r="33" spans="1:17" x14ac:dyDescent="0.15">
      <c r="A33" s="134">
        <f t="shared" si="9"/>
        <v>11</v>
      </c>
      <c r="B33" s="137">
        <f t="shared" si="3"/>
        <v>5.5412987654320983E-2</v>
      </c>
      <c r="C33" s="136">
        <f t="shared" si="4"/>
        <v>879.99999999999977</v>
      </c>
      <c r="D33" s="138">
        <f t="shared" ref="D33:G42" si="18">D57*$C$45</f>
        <v>1.4879847647395628</v>
      </c>
      <c r="E33" s="138">
        <f t="shared" si="18"/>
        <v>2.9759695294791255</v>
      </c>
      <c r="F33" s="138">
        <f t="shared" si="18"/>
        <v>5.951939058958251</v>
      </c>
      <c r="G33" s="138">
        <f t="shared" si="18"/>
        <v>11.903878117916502</v>
      </c>
      <c r="H33" s="138"/>
      <c r="I33" s="138"/>
      <c r="K33" s="136">
        <f t="shared" si="7"/>
        <v>879.99999999999977</v>
      </c>
      <c r="L33" s="138">
        <f t="shared" ref="L33:O33" si="19">L57*$C$45</f>
        <v>1.4879847647395628</v>
      </c>
      <c r="M33" s="138">
        <f t="shared" si="19"/>
        <v>20.130099566554147</v>
      </c>
      <c r="N33" s="138">
        <f t="shared" si="19"/>
        <v>29.457307768566181</v>
      </c>
      <c r="O33" s="138">
        <f t="shared" si="19"/>
        <v>38.787669532042315</v>
      </c>
      <c r="P33" s="138"/>
      <c r="Q33" s="138"/>
    </row>
    <row r="34" spans="1:17" x14ac:dyDescent="0.15">
      <c r="A34" s="134">
        <f t="shared" si="9"/>
        <v>12</v>
      </c>
      <c r="B34" s="137">
        <f t="shared" si="3"/>
        <v>6.0351259259259257E-2</v>
      </c>
      <c r="C34" s="136">
        <f t="shared" si="4"/>
        <v>959.99999999999977</v>
      </c>
      <c r="D34" s="138">
        <f t="shared" si="18"/>
        <v>-4.4249233212698078</v>
      </c>
      <c r="E34" s="138">
        <f t="shared" si="18"/>
        <v>-8.8498466425396156</v>
      </c>
      <c r="F34" s="138">
        <f t="shared" si="18"/>
        <v>-17.699693285079231</v>
      </c>
      <c r="G34" s="138">
        <f t="shared" si="18"/>
        <v>-35.399386570158462</v>
      </c>
      <c r="H34" s="138"/>
      <c r="I34" s="138"/>
      <c r="K34" s="136">
        <f t="shared" si="7"/>
        <v>959.99999999999977</v>
      </c>
      <c r="L34" s="138">
        <f t="shared" ref="L34:O34" si="20">L58*$C$45</f>
        <v>-4.4249233212698078</v>
      </c>
      <c r="M34" s="138">
        <f t="shared" si="20"/>
        <v>14.24785618582553</v>
      </c>
      <c r="N34" s="138">
        <f t="shared" si="20"/>
        <v>23.590406858026558</v>
      </c>
      <c r="O34" s="138">
        <f t="shared" si="20"/>
        <v>32.936116279034124</v>
      </c>
      <c r="P34" s="138"/>
      <c r="Q34" s="138"/>
    </row>
    <row r="35" spans="1:17" x14ac:dyDescent="0.15">
      <c r="A35" s="134">
        <f t="shared" si="9"/>
        <v>13</v>
      </c>
      <c r="B35" s="137">
        <f t="shared" si="3"/>
        <v>6.5289530864197531E-2</v>
      </c>
      <c r="C35" s="136">
        <f t="shared" si="4"/>
        <v>1039.9999999999998</v>
      </c>
      <c r="D35" s="138">
        <f t="shared" si="18"/>
        <v>-9.4433680617089717</v>
      </c>
      <c r="E35" s="138">
        <f t="shared" si="18"/>
        <v>-18.886736123417943</v>
      </c>
      <c r="F35" s="138">
        <f t="shared" si="18"/>
        <v>-37.773472246835887</v>
      </c>
      <c r="G35" s="138">
        <f t="shared" si="18"/>
        <v>-75.546944493671774</v>
      </c>
      <c r="H35" s="138"/>
      <c r="I35" s="138"/>
      <c r="K35" s="136">
        <f t="shared" si="7"/>
        <v>1039.9999999999998</v>
      </c>
      <c r="L35" s="138">
        <f t="shared" ref="L35:O35" si="21">L59*$C$45</f>
        <v>-9.4433680617089717</v>
      </c>
      <c r="M35" s="138">
        <f t="shared" si="21"/>
        <v>9.2554374087016775</v>
      </c>
      <c r="N35" s="138">
        <f t="shared" si="21"/>
        <v>18.611009649597062</v>
      </c>
      <c r="O35" s="138">
        <f t="shared" si="21"/>
        <v>27.969745041936552</v>
      </c>
      <c r="P35" s="138"/>
      <c r="Q35" s="138"/>
    </row>
    <row r="36" spans="1:17" x14ac:dyDescent="0.15">
      <c r="A36" s="134">
        <f t="shared" si="9"/>
        <v>14</v>
      </c>
      <c r="B36" s="137">
        <f t="shared" si="3"/>
        <v>7.0227802469135792E-2</v>
      </c>
      <c r="C36" s="136">
        <f t="shared" si="4"/>
        <v>1119.9999999999998</v>
      </c>
      <c r="D36" s="138">
        <f t="shared" si="18"/>
        <v>-13.756039809363568</v>
      </c>
      <c r="E36" s="138">
        <f t="shared" si="18"/>
        <v>-27.512079618727135</v>
      </c>
      <c r="F36" s="138">
        <f t="shared" si="18"/>
        <v>-55.024159237454271</v>
      </c>
      <c r="G36" s="138">
        <f t="shared" si="18"/>
        <v>-110.04831847490854</v>
      </c>
      <c r="H36" s="138"/>
      <c r="I36" s="138"/>
      <c r="K36" s="136">
        <f t="shared" si="7"/>
        <v>1119.9999999999998</v>
      </c>
      <c r="L36" s="138">
        <f t="shared" ref="L36:O36" si="22">L60*$C$45</f>
        <v>-13.756039809363568</v>
      </c>
      <c r="M36" s="138">
        <f t="shared" si="22"/>
        <v>4.9651314421806214</v>
      </c>
      <c r="N36" s="138">
        <f t="shared" si="22"/>
        <v>14.331893953034701</v>
      </c>
      <c r="O36" s="138">
        <f t="shared" si="22"/>
        <v>23.701823398802002</v>
      </c>
      <c r="P36" s="138"/>
      <c r="Q36" s="138"/>
    </row>
    <row r="37" spans="1:17" x14ac:dyDescent="0.15">
      <c r="A37" s="134">
        <f t="shared" si="9"/>
        <v>15</v>
      </c>
      <c r="B37" s="137">
        <f t="shared" si="3"/>
        <v>7.5166074074074066E-2</v>
      </c>
      <c r="C37" s="136">
        <f t="shared" si="4"/>
        <v>1199.9999999999998</v>
      </c>
      <c r="D37" s="138">
        <f t="shared" si="18"/>
        <v>-17.502042492677408</v>
      </c>
      <c r="E37" s="138">
        <f t="shared" si="18"/>
        <v>-35.004084985354815</v>
      </c>
      <c r="F37" s="138">
        <f t="shared" si="18"/>
        <v>-70.008169970709631</v>
      </c>
      <c r="G37" s="138">
        <f t="shared" si="18"/>
        <v>-140.01633994141926</v>
      </c>
      <c r="H37" s="138"/>
      <c r="I37" s="138"/>
      <c r="K37" s="136">
        <f t="shared" si="7"/>
        <v>1199.9999999999998</v>
      </c>
      <c r="L37" s="138">
        <f t="shared" ref="L37:O37" si="23">L61*$C$45</f>
        <v>-17.502042492677408</v>
      </c>
      <c r="M37" s="138">
        <f t="shared" si="23"/>
        <v>1.2385557593535041</v>
      </c>
      <c r="N37" s="138">
        <f t="shared" si="23"/>
        <v>10.615038180218134</v>
      </c>
      <c r="O37" s="138">
        <f t="shared" si="23"/>
        <v>19.994690822331282</v>
      </c>
      <c r="P37" s="138"/>
      <c r="Q37" s="138"/>
    </row>
    <row r="38" spans="1:17" x14ac:dyDescent="0.15">
      <c r="A38" s="134">
        <f t="shared" si="9"/>
        <v>16</v>
      </c>
      <c r="B38" s="137">
        <f t="shared" si="3"/>
        <v>8.010434567901234E-2</v>
      </c>
      <c r="C38" s="136">
        <f t="shared" si="4"/>
        <v>1279.9999999999998</v>
      </c>
      <c r="D38" s="138">
        <f t="shared" si="18"/>
        <v>-20.786178131794703</v>
      </c>
      <c r="E38" s="138">
        <f t="shared" si="18"/>
        <v>-41.572356263589406</v>
      </c>
      <c r="F38" s="138">
        <f t="shared" si="18"/>
        <v>-83.144712527178811</v>
      </c>
      <c r="G38" s="138">
        <f t="shared" si="18"/>
        <v>-166.28942505435762</v>
      </c>
      <c r="H38" s="138"/>
      <c r="I38" s="138"/>
      <c r="K38" s="136">
        <f t="shared" si="7"/>
        <v>1279.9999999999998</v>
      </c>
      <c r="L38" s="138">
        <f t="shared" ref="L38:O38" si="24">L62*$C$45</f>
        <v>-20.786178131794703</v>
      </c>
      <c r="M38" s="138">
        <f t="shared" si="24"/>
        <v>-2.0285481501967895</v>
      </c>
      <c r="N38" s="138">
        <f t="shared" si="24"/>
        <v>7.3564557549200797</v>
      </c>
      <c r="O38" s="138">
        <f t="shared" si="24"/>
        <v>16.744632762428857</v>
      </c>
      <c r="P38" s="138"/>
      <c r="Q38" s="138"/>
    </row>
    <row r="39" spans="1:17" x14ac:dyDescent="0.15">
      <c r="A39" s="134">
        <f t="shared" si="9"/>
        <v>17</v>
      </c>
      <c r="B39" s="137">
        <f t="shared" si="3"/>
        <v>8.50426172839506E-2</v>
      </c>
      <c r="C39" s="136">
        <f t="shared" si="4"/>
        <v>1359.9999999999998</v>
      </c>
      <c r="D39" s="138">
        <f t="shared" si="18"/>
        <v>-23.68890608870797</v>
      </c>
      <c r="E39" s="138">
        <f t="shared" si="18"/>
        <v>-47.37781217741594</v>
      </c>
      <c r="F39" s="138">
        <f t="shared" si="18"/>
        <v>-94.75562435483188</v>
      </c>
      <c r="G39" s="138">
        <f t="shared" si="18"/>
        <v>-189.51124870966376</v>
      </c>
      <c r="H39" s="138"/>
      <c r="I39" s="138"/>
      <c r="K39" s="136">
        <f t="shared" si="7"/>
        <v>1359.9999999999998</v>
      </c>
      <c r="L39" s="138">
        <f t="shared" ref="L39:O39" si="25">L63*$C$45</f>
        <v>-23.68890608870797</v>
      </c>
      <c r="M39" s="138">
        <f t="shared" si="25"/>
        <v>-4.9162223812590389</v>
      </c>
      <c r="N39" s="138">
        <f t="shared" si="25"/>
        <v>4.4763133536271873</v>
      </c>
      <c r="O39" s="138">
        <f t="shared" si="25"/>
        <v>13.87202473744313</v>
      </c>
      <c r="P39" s="138"/>
      <c r="Q39" s="138"/>
    </row>
    <row r="40" spans="1:17" x14ac:dyDescent="0.15">
      <c r="A40" s="134">
        <f t="shared" si="9"/>
        <v>18</v>
      </c>
      <c r="B40" s="137">
        <f t="shared" si="3"/>
        <v>8.9980888888888888E-2</v>
      </c>
      <c r="C40" s="136">
        <f t="shared" si="4"/>
        <v>1439.9999999999998</v>
      </c>
      <c r="D40" s="138">
        <f t="shared" si="18"/>
        <v>-26.273022855545371</v>
      </c>
      <c r="E40" s="138">
        <f t="shared" si="18"/>
        <v>-52.546045711090741</v>
      </c>
      <c r="F40" s="138">
        <f t="shared" si="18"/>
        <v>-105.09209142218148</v>
      </c>
      <c r="G40" s="138">
        <f t="shared" si="18"/>
        <v>-210.18418284436297</v>
      </c>
      <c r="H40" s="138"/>
      <c r="I40" s="138"/>
      <c r="K40" s="136">
        <f t="shared" si="7"/>
        <v>1439.9999999999998</v>
      </c>
      <c r="L40" s="138">
        <f t="shared" ref="L40:O40" si="26">L64*$C$45</f>
        <v>-26.273022855545371</v>
      </c>
      <c r="M40" s="138">
        <f t="shared" si="26"/>
        <v>-7.4869377594881046</v>
      </c>
      <c r="N40" s="138">
        <f t="shared" si="26"/>
        <v>1.9123030913720991</v>
      </c>
      <c r="O40" s="138">
        <f t="shared" si="26"/>
        <v>11.314721858184987</v>
      </c>
      <c r="P40" s="138"/>
      <c r="Q40" s="138"/>
    </row>
    <row r="41" spans="1:17" x14ac:dyDescent="0.15">
      <c r="A41" s="134">
        <f t="shared" si="9"/>
        <v>19</v>
      </c>
      <c r="B41" s="137">
        <f t="shared" si="3"/>
        <v>9.4919160493827162E-2</v>
      </c>
      <c r="C41" s="136">
        <f t="shared" si="4"/>
        <v>1519.9999999999998</v>
      </c>
      <c r="D41" s="138">
        <f t="shared" si="18"/>
        <v>-28.588256703757569</v>
      </c>
      <c r="E41" s="138">
        <f t="shared" si="18"/>
        <v>-57.176513407515138</v>
      </c>
      <c r="F41" s="138">
        <f t="shared" si="18"/>
        <v>-114.35302681503028</v>
      </c>
      <c r="G41" s="138">
        <f t="shared" si="18"/>
        <v>-228.70605363006055</v>
      </c>
      <c r="H41" s="138"/>
      <c r="I41" s="138"/>
      <c r="K41" s="136">
        <f t="shared" si="7"/>
        <v>1519.9999999999998</v>
      </c>
      <c r="L41" s="138">
        <f t="shared" ref="L41:O41" si="27">L65*$C$45</f>
        <v>-28.588256703757569</v>
      </c>
      <c r="M41" s="138">
        <f t="shared" si="27"/>
        <v>-9.7901646624580039</v>
      </c>
      <c r="N41" s="138">
        <f t="shared" si="27"/>
        <v>-0.3849163773911301</v>
      </c>
      <c r="O41" s="138">
        <f t="shared" si="27"/>
        <v>9.0235118547627806</v>
      </c>
      <c r="P41" s="138"/>
      <c r="Q41" s="138"/>
    </row>
    <row r="42" spans="1:17" x14ac:dyDescent="0.15">
      <c r="A42" s="134">
        <f t="shared" si="9"/>
        <v>20</v>
      </c>
      <c r="B42" s="137">
        <f t="shared" si="3"/>
        <v>9.9857432098765422E-2</v>
      </c>
      <c r="C42" s="136">
        <f t="shared" si="4"/>
        <v>1599.9999999999998</v>
      </c>
      <c r="D42" s="138">
        <f t="shared" si="18"/>
        <v>-30.674499012109031</v>
      </c>
      <c r="E42" s="138">
        <f t="shared" si="18"/>
        <v>-61.348998024218062</v>
      </c>
      <c r="F42" s="138">
        <f t="shared" si="18"/>
        <v>-122.69799604843612</v>
      </c>
      <c r="G42" s="138">
        <f t="shared" si="18"/>
        <v>-245.39599209687225</v>
      </c>
      <c r="H42" s="138"/>
      <c r="I42" s="138"/>
      <c r="K42" s="136">
        <f t="shared" si="7"/>
        <v>1599.9999999999998</v>
      </c>
      <c r="L42" s="138">
        <f t="shared" ref="L42:O42" si="28">L66*$C$45</f>
        <v>-30.674499012109031</v>
      </c>
      <c r="M42" s="138">
        <f t="shared" si="28"/>
        <v>-11.865587589787562</v>
      </c>
      <c r="N42" s="138">
        <f t="shared" si="28"/>
        <v>-2.4549260444505796</v>
      </c>
      <c r="O42" s="138">
        <f t="shared" si="28"/>
        <v>6.9589172782155542</v>
      </c>
      <c r="P42" s="138"/>
      <c r="Q42" s="138"/>
    </row>
    <row r="43" spans="1:17" x14ac:dyDescent="0.15">
      <c r="A43" s="134">
        <f t="shared" si="9"/>
        <v>21</v>
      </c>
      <c r="B43" s="137">
        <f t="shared" si="3"/>
        <v>0.10479570370370368</v>
      </c>
      <c r="C43" s="136">
        <f t="shared" si="4"/>
        <v>1679.9999999999995</v>
      </c>
      <c r="D43" s="138">
        <f t="shared" ref="D43:G43" si="29">D67*$C$45</f>
        <v>0</v>
      </c>
      <c r="E43" s="138">
        <f t="shared" si="29"/>
        <v>0</v>
      </c>
      <c r="F43" s="138">
        <f t="shared" si="29"/>
        <v>0</v>
      </c>
      <c r="G43" s="138">
        <f t="shared" si="29"/>
        <v>0</v>
      </c>
      <c r="H43" s="138"/>
      <c r="I43" s="138"/>
      <c r="K43" s="136">
        <f t="shared" si="7"/>
        <v>1679.9999999999995</v>
      </c>
      <c r="L43" s="138">
        <f t="shared" ref="L43:O43" si="30">L67*$C$45</f>
        <v>0</v>
      </c>
      <c r="M43" s="138">
        <f t="shared" si="30"/>
        <v>0</v>
      </c>
      <c r="N43" s="138">
        <f t="shared" si="30"/>
        <v>0</v>
      </c>
      <c r="O43" s="138">
        <f t="shared" si="30"/>
        <v>0</v>
      </c>
      <c r="P43" s="138"/>
      <c r="Q43" s="138"/>
    </row>
    <row r="45" spans="1:17" x14ac:dyDescent="0.15">
      <c r="C45" s="134">
        <f>C13/C11*PI()</f>
        <v>3.4906585039886591E-2</v>
      </c>
      <c r="K45" s="134">
        <f t="shared" si="7"/>
        <v>3.4906585039886591E-2</v>
      </c>
      <c r="L45" s="134">
        <f>C6</f>
        <v>1</v>
      </c>
    </row>
    <row r="46" spans="1:17" x14ac:dyDescent="0.15">
      <c r="C46" s="139"/>
      <c r="D46" s="136">
        <f>C6</f>
        <v>1</v>
      </c>
      <c r="E46" s="136">
        <f>D46*2</f>
        <v>2</v>
      </c>
      <c r="F46" s="136">
        <f>E46*2</f>
        <v>4</v>
      </c>
      <c r="G46" s="136">
        <f>F46*2</f>
        <v>8</v>
      </c>
      <c r="H46" s="136"/>
      <c r="I46" s="136"/>
      <c r="K46" s="139">
        <f t="shared" si="7"/>
        <v>0</v>
      </c>
      <c r="L46" s="136">
        <f>C5</f>
        <v>2</v>
      </c>
      <c r="M46" s="136">
        <f>L46/2</f>
        <v>1</v>
      </c>
      <c r="N46" s="136">
        <f>M46/2</f>
        <v>0.5</v>
      </c>
      <c r="O46" s="136">
        <v>0</v>
      </c>
      <c r="P46" s="136"/>
      <c r="Q46" s="136"/>
    </row>
    <row r="47" spans="1:17" x14ac:dyDescent="0.15">
      <c r="C47" s="139">
        <f>C23</f>
        <v>79.999999999999986</v>
      </c>
      <c r="D47" s="140">
        <f t="shared" ref="D47:G67" si="31">IF($C23&gt;$C$20,,MIN($C$10,($C$12-(9.8*$C23*($C$3*COS(RADIANS($C$5))+SIN(RADIANS($C$5)))*$C$4*$C$13/(2*$C$2)/$C$11/$C$14))*375/9.8/$B23*D$46))</f>
        <v>2000</v>
      </c>
      <c r="E47" s="140">
        <f t="shared" si="31"/>
        <v>2000</v>
      </c>
      <c r="F47" s="140">
        <f t="shared" si="31"/>
        <v>2000</v>
      </c>
      <c r="G47" s="140">
        <f t="shared" si="31"/>
        <v>2000</v>
      </c>
      <c r="H47" s="140"/>
      <c r="I47" s="140"/>
      <c r="K47" s="139">
        <f t="shared" si="7"/>
        <v>79.999999999999986</v>
      </c>
      <c r="L47" s="140">
        <f t="shared" ref="L47:O66" si="32">IF($C23&gt;$C$20,,MIN($C$10,($C$12-(9.8*$C23*($C$3*COS(RADIANS(L$46))+SIN(RADIANS(L$46)))*$C$4*$C$13/(2*$C$2)/$C$11/$C$14))*375/9.8/$B23*$L$45))</f>
        <v>2000</v>
      </c>
      <c r="M47" s="140">
        <f t="shared" si="32"/>
        <v>2000</v>
      </c>
      <c r="N47" s="140">
        <f t="shared" si="32"/>
        <v>2000</v>
      </c>
      <c r="O47" s="140">
        <f t="shared" si="32"/>
        <v>2000</v>
      </c>
      <c r="P47" s="140"/>
      <c r="Q47" s="140"/>
    </row>
    <row r="48" spans="1:17" x14ac:dyDescent="0.15">
      <c r="C48" s="139">
        <f t="shared" ref="C48:C67" si="33">C24</f>
        <v>159.99999999999997</v>
      </c>
      <c r="D48" s="140">
        <f t="shared" si="31"/>
        <v>2000</v>
      </c>
      <c r="E48" s="140">
        <f t="shared" si="31"/>
        <v>2000</v>
      </c>
      <c r="F48" s="140">
        <f t="shared" si="31"/>
        <v>2000</v>
      </c>
      <c r="G48" s="140">
        <f t="shared" si="31"/>
        <v>2000</v>
      </c>
      <c r="H48" s="140"/>
      <c r="I48" s="140"/>
      <c r="K48" s="139">
        <f t="shared" si="7"/>
        <v>159.99999999999997</v>
      </c>
      <c r="L48" s="140">
        <f t="shared" si="32"/>
        <v>2000</v>
      </c>
      <c r="M48" s="140">
        <f t="shared" si="32"/>
        <v>2000</v>
      </c>
      <c r="N48" s="140">
        <f t="shared" si="32"/>
        <v>2000</v>
      </c>
      <c r="O48" s="140">
        <f t="shared" si="32"/>
        <v>2000</v>
      </c>
      <c r="P48" s="140"/>
      <c r="Q48" s="140"/>
    </row>
    <row r="49" spans="3:17" x14ac:dyDescent="0.15">
      <c r="C49" s="139">
        <f t="shared" si="33"/>
        <v>239.99999999999994</v>
      </c>
      <c r="D49" s="140">
        <f t="shared" si="31"/>
        <v>2000</v>
      </c>
      <c r="E49" s="140">
        <f t="shared" si="31"/>
        <v>2000</v>
      </c>
      <c r="F49" s="140">
        <f t="shared" si="31"/>
        <v>2000</v>
      </c>
      <c r="G49" s="140">
        <f t="shared" si="31"/>
        <v>2000</v>
      </c>
      <c r="H49" s="140"/>
      <c r="I49" s="140"/>
      <c r="K49" s="139">
        <f t="shared" si="7"/>
        <v>239.99999999999994</v>
      </c>
      <c r="L49" s="140">
        <f t="shared" si="32"/>
        <v>2000</v>
      </c>
      <c r="M49" s="140">
        <f t="shared" si="32"/>
        <v>2000</v>
      </c>
      <c r="N49" s="140">
        <f t="shared" si="32"/>
        <v>2000</v>
      </c>
      <c r="O49" s="140">
        <f t="shared" si="32"/>
        <v>2000</v>
      </c>
      <c r="P49" s="140"/>
      <c r="Q49" s="140"/>
    </row>
    <row r="50" spans="3:17" x14ac:dyDescent="0.15">
      <c r="C50" s="139">
        <f t="shared" si="33"/>
        <v>319.99999999999994</v>
      </c>
      <c r="D50" s="140">
        <f t="shared" si="31"/>
        <v>2000</v>
      </c>
      <c r="E50" s="140">
        <f t="shared" si="31"/>
        <v>2000</v>
      </c>
      <c r="F50" s="140">
        <f t="shared" si="31"/>
        <v>2000</v>
      </c>
      <c r="G50" s="140">
        <f t="shared" si="31"/>
        <v>2000</v>
      </c>
      <c r="H50" s="140"/>
      <c r="I50" s="140"/>
      <c r="K50" s="139">
        <f t="shared" si="7"/>
        <v>319.99999999999994</v>
      </c>
      <c r="L50" s="140">
        <f t="shared" si="32"/>
        <v>2000</v>
      </c>
      <c r="M50" s="140">
        <f t="shared" si="32"/>
        <v>2000</v>
      </c>
      <c r="N50" s="140">
        <f t="shared" si="32"/>
        <v>2000</v>
      </c>
      <c r="O50" s="140">
        <f t="shared" si="32"/>
        <v>2000</v>
      </c>
      <c r="P50" s="140"/>
      <c r="Q50" s="140"/>
    </row>
    <row r="51" spans="3:17" x14ac:dyDescent="0.15">
      <c r="C51" s="139">
        <f t="shared" si="33"/>
        <v>399.99999999999994</v>
      </c>
      <c r="D51" s="140">
        <f t="shared" si="31"/>
        <v>2000</v>
      </c>
      <c r="E51" s="140">
        <f t="shared" si="31"/>
        <v>2000</v>
      </c>
      <c r="F51" s="140">
        <f t="shared" si="31"/>
        <v>2000</v>
      </c>
      <c r="G51" s="140">
        <f t="shared" si="31"/>
        <v>2000</v>
      </c>
      <c r="H51" s="140"/>
      <c r="I51" s="140"/>
      <c r="K51" s="139">
        <f t="shared" si="7"/>
        <v>399.99999999999994</v>
      </c>
      <c r="L51" s="140">
        <f t="shared" si="32"/>
        <v>2000</v>
      </c>
      <c r="M51" s="140">
        <f t="shared" si="32"/>
        <v>2000</v>
      </c>
      <c r="N51" s="140">
        <f t="shared" si="32"/>
        <v>2000</v>
      </c>
      <c r="O51" s="140">
        <f t="shared" si="32"/>
        <v>2000</v>
      </c>
      <c r="P51" s="140"/>
      <c r="Q51" s="140"/>
    </row>
    <row r="52" spans="3:17" x14ac:dyDescent="0.15">
      <c r="C52" s="139">
        <f t="shared" si="33"/>
        <v>479.99999999999989</v>
      </c>
      <c r="D52" s="140">
        <f t="shared" si="31"/>
        <v>1706.4457689035046</v>
      </c>
      <c r="E52" s="140">
        <f t="shared" si="31"/>
        <v>2000</v>
      </c>
      <c r="F52" s="140">
        <f t="shared" si="31"/>
        <v>2000</v>
      </c>
      <c r="G52" s="140">
        <f t="shared" si="31"/>
        <v>2000</v>
      </c>
      <c r="H52" s="140"/>
      <c r="I52" s="140"/>
      <c r="K52" s="139">
        <f t="shared" si="7"/>
        <v>479.99999999999989</v>
      </c>
      <c r="L52" s="140">
        <f t="shared" si="32"/>
        <v>1706.4457689035046</v>
      </c>
      <c r="M52" s="140">
        <f t="shared" si="32"/>
        <v>2000</v>
      </c>
      <c r="N52" s="140">
        <f t="shared" si="32"/>
        <v>2000</v>
      </c>
      <c r="O52" s="140">
        <f t="shared" si="32"/>
        <v>2000</v>
      </c>
      <c r="P52" s="140"/>
      <c r="Q52" s="140"/>
    </row>
    <row r="53" spans="3:17" x14ac:dyDescent="0.15">
      <c r="C53" s="139">
        <f t="shared" si="33"/>
        <v>559.99999999999989</v>
      </c>
      <c r="D53" s="140">
        <f t="shared" si="31"/>
        <v>1189.3544076917465</v>
      </c>
      <c r="E53" s="140">
        <f t="shared" si="31"/>
        <v>2000</v>
      </c>
      <c r="F53" s="140">
        <f t="shared" si="31"/>
        <v>2000</v>
      </c>
      <c r="G53" s="140">
        <f t="shared" si="31"/>
        <v>2000</v>
      </c>
      <c r="H53" s="140"/>
      <c r="I53" s="140"/>
      <c r="K53" s="139">
        <f t="shared" si="7"/>
        <v>559.99999999999989</v>
      </c>
      <c r="L53" s="140">
        <f t="shared" si="32"/>
        <v>1189.3544076917465</v>
      </c>
      <c r="M53" s="140">
        <f t="shared" si="32"/>
        <v>1717.464661677662</v>
      </c>
      <c r="N53" s="140">
        <f t="shared" si="32"/>
        <v>1981.6940339838886</v>
      </c>
      <c r="O53" s="140">
        <f t="shared" si="32"/>
        <v>2000</v>
      </c>
      <c r="P53" s="140"/>
      <c r="Q53" s="140"/>
    </row>
    <row r="54" spans="3:17" x14ac:dyDescent="0.15">
      <c r="C54" s="139">
        <f t="shared" si="33"/>
        <v>639.99999999999989</v>
      </c>
      <c r="D54" s="140">
        <f t="shared" si="31"/>
        <v>798.05873666169282</v>
      </c>
      <c r="E54" s="140">
        <f t="shared" si="31"/>
        <v>1596.1174733233856</v>
      </c>
      <c r="F54" s="140">
        <f t="shared" si="31"/>
        <v>2000</v>
      </c>
      <c r="G54" s="140">
        <f t="shared" si="31"/>
        <v>2000</v>
      </c>
      <c r="H54" s="140"/>
      <c r="I54" s="140"/>
      <c r="K54" s="139">
        <f t="shared" si="7"/>
        <v>639.99999999999989</v>
      </c>
      <c r="L54" s="140">
        <f t="shared" si="32"/>
        <v>798.05873666169282</v>
      </c>
      <c r="M54" s="140">
        <f t="shared" si="32"/>
        <v>1328.1982740822962</v>
      </c>
      <c r="N54" s="140">
        <f t="shared" si="32"/>
        <v>1593.4429576500106</v>
      </c>
      <c r="O54" s="140">
        <f t="shared" si="32"/>
        <v>1858.7773213657974</v>
      </c>
      <c r="P54" s="140"/>
      <c r="Q54" s="140"/>
    </row>
    <row r="55" spans="3:17" x14ac:dyDescent="0.15">
      <c r="C55" s="139">
        <f t="shared" si="33"/>
        <v>719.99999999999989</v>
      </c>
      <c r="D55" s="140">
        <f t="shared" si="31"/>
        <v>491.63241917725753</v>
      </c>
      <c r="E55" s="140">
        <f t="shared" si="31"/>
        <v>983.26483835451506</v>
      </c>
      <c r="F55" s="140">
        <f t="shared" si="31"/>
        <v>1966.5296767090301</v>
      </c>
      <c r="G55" s="140">
        <f t="shared" si="31"/>
        <v>2000</v>
      </c>
      <c r="H55" s="140"/>
      <c r="I55" s="140"/>
      <c r="K55" s="139">
        <f t="shared" si="7"/>
        <v>719.99999999999989</v>
      </c>
      <c r="L55" s="140">
        <f t="shared" si="32"/>
        <v>491.63241917725753</v>
      </c>
      <c r="M55" s="140">
        <f t="shared" si="32"/>
        <v>1023.3611023412489</v>
      </c>
      <c r="N55" s="140">
        <f t="shared" si="32"/>
        <v>1289.4008831052577</v>
      </c>
      <c r="O55" s="140">
        <f t="shared" si="32"/>
        <v>1555.5306128424604</v>
      </c>
      <c r="P55" s="140"/>
      <c r="Q55" s="140"/>
    </row>
    <row r="56" spans="3:17" x14ac:dyDescent="0.15">
      <c r="C56" s="139">
        <f t="shared" si="33"/>
        <v>799.99999999999989</v>
      </c>
      <c r="D56" s="140">
        <f t="shared" si="31"/>
        <v>245.16548338240719</v>
      </c>
      <c r="E56" s="140">
        <f t="shared" si="31"/>
        <v>490.33096676481438</v>
      </c>
      <c r="F56" s="140">
        <f t="shared" si="31"/>
        <v>980.66193352962875</v>
      </c>
      <c r="G56" s="140">
        <f t="shared" si="31"/>
        <v>1961.3238670592575</v>
      </c>
      <c r="H56" s="140"/>
      <c r="I56" s="140"/>
      <c r="K56" s="139">
        <f t="shared" si="7"/>
        <v>799.99999999999989</v>
      </c>
      <c r="L56" s="140">
        <f t="shared" si="32"/>
        <v>245.16548338240719</v>
      </c>
      <c r="M56" s="140">
        <f t="shared" si="32"/>
        <v>778.1723592457721</v>
      </c>
      <c r="N56" s="140">
        <f t="shared" si="32"/>
        <v>1044.851658087857</v>
      </c>
      <c r="O56" s="140">
        <f t="shared" si="32"/>
        <v>1311.6211221264184</v>
      </c>
      <c r="P56" s="140"/>
      <c r="Q56" s="140"/>
    </row>
    <row r="57" spans="3:17" x14ac:dyDescent="0.15">
      <c r="C57" s="139">
        <f t="shared" si="33"/>
        <v>879.99999999999977</v>
      </c>
      <c r="D57" s="140">
        <f t="shared" si="31"/>
        <v>42.627623499671827</v>
      </c>
      <c r="E57" s="140">
        <f t="shared" si="31"/>
        <v>85.255246999343655</v>
      </c>
      <c r="F57" s="140">
        <f t="shared" si="31"/>
        <v>170.51049399868731</v>
      </c>
      <c r="G57" s="140">
        <f t="shared" si="31"/>
        <v>341.02098799737462</v>
      </c>
      <c r="H57" s="140"/>
      <c r="I57" s="140"/>
      <c r="K57" s="139">
        <f t="shared" si="7"/>
        <v>879.99999999999977</v>
      </c>
      <c r="L57" s="140">
        <f t="shared" si="32"/>
        <v>42.627623499671827</v>
      </c>
      <c r="M57" s="140">
        <f t="shared" si="32"/>
        <v>576.68487317084021</v>
      </c>
      <c r="N57" s="140">
        <f t="shared" si="32"/>
        <v>843.88970547838744</v>
      </c>
      <c r="O57" s="140">
        <f t="shared" si="32"/>
        <v>1111.1848806670987</v>
      </c>
      <c r="P57" s="140"/>
      <c r="Q57" s="140"/>
    </row>
    <row r="58" spans="3:17" x14ac:dyDescent="0.15">
      <c r="C58" s="139">
        <f t="shared" si="33"/>
        <v>959.99999999999977</v>
      </c>
      <c r="D58" s="140">
        <f t="shared" si="31"/>
        <v>-126.76471548888541</v>
      </c>
      <c r="E58" s="140">
        <f t="shared" si="31"/>
        <v>-253.52943097777083</v>
      </c>
      <c r="F58" s="140">
        <f t="shared" si="31"/>
        <v>-507.05886195554166</v>
      </c>
      <c r="G58" s="140">
        <f t="shared" si="31"/>
        <v>-1014.1177239110833</v>
      </c>
      <c r="H58" s="140"/>
      <c r="I58" s="140"/>
      <c r="K58" s="139">
        <f t="shared" si="7"/>
        <v>959.99999999999977</v>
      </c>
      <c r="L58" s="140">
        <f t="shared" si="32"/>
        <v>-126.76471548888541</v>
      </c>
      <c r="M58" s="140">
        <f t="shared" si="32"/>
        <v>408.17101327858279</v>
      </c>
      <c r="N58" s="140">
        <f t="shared" si="32"/>
        <v>675.81537498069736</v>
      </c>
      <c r="O58" s="140">
        <f t="shared" si="32"/>
        <v>943.55022817039026</v>
      </c>
      <c r="P58" s="140"/>
      <c r="Q58" s="140"/>
    </row>
    <row r="59" spans="3:17" x14ac:dyDescent="0.15">
      <c r="C59" s="139">
        <f t="shared" si="33"/>
        <v>1039.9999999999998</v>
      </c>
      <c r="D59" s="140">
        <f t="shared" si="31"/>
        <v>-270.53256716228043</v>
      </c>
      <c r="E59" s="140">
        <f t="shared" si="31"/>
        <v>-541.06513432456086</v>
      </c>
      <c r="F59" s="140">
        <f t="shared" si="31"/>
        <v>-1082.1302686491217</v>
      </c>
      <c r="G59" s="140">
        <f t="shared" si="31"/>
        <v>-2164.2605372982434</v>
      </c>
      <c r="H59" s="140"/>
      <c r="I59" s="140"/>
      <c r="K59" s="139">
        <f t="shared" si="7"/>
        <v>1039.9999999999998</v>
      </c>
      <c r="L59" s="140">
        <f t="shared" si="32"/>
        <v>-270.53256716228043</v>
      </c>
      <c r="M59" s="140">
        <f t="shared" si="32"/>
        <v>265.14875053305263</v>
      </c>
      <c r="N59" s="140">
        <f t="shared" si="32"/>
        <v>533.16615269958038</v>
      </c>
      <c r="O59" s="140">
        <f t="shared" si="32"/>
        <v>801.27417247996209</v>
      </c>
      <c r="P59" s="140"/>
      <c r="Q59" s="140"/>
    </row>
    <row r="60" spans="3:17" x14ac:dyDescent="0.15">
      <c r="C60" s="139">
        <f t="shared" si="33"/>
        <v>1119.9999999999998</v>
      </c>
      <c r="D60" s="140">
        <f t="shared" si="31"/>
        <v>-394.08151194523896</v>
      </c>
      <c r="E60" s="140">
        <f t="shared" si="31"/>
        <v>-788.16302389047792</v>
      </c>
      <c r="F60" s="140">
        <f t="shared" si="31"/>
        <v>-1576.3260477809558</v>
      </c>
      <c r="G60" s="140">
        <f t="shared" si="31"/>
        <v>-3152.6520955619117</v>
      </c>
      <c r="H60" s="140"/>
      <c r="I60" s="140"/>
      <c r="K60" s="139">
        <f t="shared" si="7"/>
        <v>1119.9999999999998</v>
      </c>
      <c r="L60" s="140">
        <f t="shared" si="32"/>
        <v>-394.08151194523896</v>
      </c>
      <c r="M60" s="140">
        <f t="shared" si="32"/>
        <v>142.24053818232667</v>
      </c>
      <c r="N60" s="140">
        <f t="shared" si="32"/>
        <v>410.578517968977</v>
      </c>
      <c r="O60" s="140">
        <f t="shared" si="32"/>
        <v>679.00722375788746</v>
      </c>
      <c r="P60" s="140"/>
      <c r="Q60" s="140"/>
    </row>
    <row r="61" spans="3:17" x14ac:dyDescent="0.15">
      <c r="C61" s="139">
        <f t="shared" si="33"/>
        <v>1199.9999999999998</v>
      </c>
      <c r="D61" s="140">
        <f t="shared" si="31"/>
        <v>-501.39658384452122</v>
      </c>
      <c r="E61" s="140">
        <f t="shared" si="31"/>
        <v>-1002.7931676890424</v>
      </c>
      <c r="F61" s="140">
        <f t="shared" si="31"/>
        <v>-2005.5863353780849</v>
      </c>
      <c r="G61" s="140">
        <f t="shared" si="31"/>
        <v>-4011.1726707561697</v>
      </c>
      <c r="H61" s="140"/>
      <c r="I61" s="140"/>
      <c r="K61" s="139">
        <f t="shared" si="7"/>
        <v>1199.9999999999998</v>
      </c>
      <c r="L61" s="140">
        <f t="shared" si="32"/>
        <v>-501.39658384452122</v>
      </c>
      <c r="M61" s="140">
        <f t="shared" si="32"/>
        <v>35.482008851288313</v>
      </c>
      <c r="N61" s="140">
        <f t="shared" si="32"/>
        <v>304.0984435483644</v>
      </c>
      <c r="O61" s="140">
        <f t="shared" si="32"/>
        <v>572.80569839427187</v>
      </c>
      <c r="P61" s="140"/>
      <c r="Q61" s="140"/>
    </row>
    <row r="62" spans="3:17" x14ac:dyDescent="0.15">
      <c r="C62" s="139">
        <f t="shared" si="33"/>
        <v>1279.9999999999998</v>
      </c>
      <c r="D62" s="140">
        <f t="shared" si="31"/>
        <v>-595.48013957948137</v>
      </c>
      <c r="E62" s="140">
        <f t="shared" si="31"/>
        <v>-1190.9602791589627</v>
      </c>
      <c r="F62" s="140">
        <f t="shared" si="31"/>
        <v>-2381.9205583179255</v>
      </c>
      <c r="G62" s="140">
        <f t="shared" si="31"/>
        <v>-4763.841116635851</v>
      </c>
      <c r="H62" s="140"/>
      <c r="I62" s="140"/>
      <c r="K62" s="139">
        <f t="shared" si="7"/>
        <v>1279.9999999999998</v>
      </c>
      <c r="L62" s="140">
        <f t="shared" si="32"/>
        <v>-595.48013957948137</v>
      </c>
      <c r="M62" s="140">
        <f t="shared" si="32"/>
        <v>-58.113623772673122</v>
      </c>
      <c r="N62" s="140">
        <f t="shared" si="32"/>
        <v>210.74693346582322</v>
      </c>
      <c r="O62" s="140">
        <f t="shared" si="32"/>
        <v>479.69839339182914</v>
      </c>
      <c r="P62" s="140"/>
      <c r="Q62" s="140"/>
    </row>
    <row r="63" spans="3:17" x14ac:dyDescent="0.15">
      <c r="C63" s="139">
        <f t="shared" si="33"/>
        <v>1359.9999999999998</v>
      </c>
      <c r="D63" s="140">
        <f t="shared" si="31"/>
        <v>-678.63717008236256</v>
      </c>
      <c r="E63" s="140">
        <f t="shared" si="31"/>
        <v>-1357.2743401647251</v>
      </c>
      <c r="F63" s="140">
        <f t="shared" si="31"/>
        <v>-2714.5486803294502</v>
      </c>
      <c r="G63" s="140">
        <f t="shared" si="31"/>
        <v>-5429.0973606589005</v>
      </c>
      <c r="H63" s="140"/>
      <c r="I63" s="140"/>
      <c r="K63" s="139">
        <f t="shared" si="7"/>
        <v>1359.9999999999998</v>
      </c>
      <c r="L63" s="140">
        <f t="shared" si="32"/>
        <v>-678.63717008236256</v>
      </c>
      <c r="M63" s="140">
        <f t="shared" si="32"/>
        <v>-140.83939679694922</v>
      </c>
      <c r="N63" s="140">
        <f t="shared" si="32"/>
        <v>128.23693147044472</v>
      </c>
      <c r="O63" s="140">
        <f t="shared" si="32"/>
        <v>397.40423537828264</v>
      </c>
      <c r="P63" s="140"/>
      <c r="Q63" s="140"/>
    </row>
    <row r="64" spans="3:17" x14ac:dyDescent="0.15">
      <c r="C64" s="139">
        <f t="shared" si="33"/>
        <v>1439.9999999999998</v>
      </c>
      <c r="D64" s="140">
        <f t="shared" si="31"/>
        <v>-752.66666233675005</v>
      </c>
      <c r="E64" s="140">
        <f t="shared" si="31"/>
        <v>-1505.3333246735001</v>
      </c>
      <c r="F64" s="140">
        <f t="shared" si="31"/>
        <v>-3010.6666493470002</v>
      </c>
      <c r="G64" s="140">
        <f t="shared" si="31"/>
        <v>-6021.3332986940004</v>
      </c>
      <c r="H64" s="140"/>
      <c r="I64" s="140"/>
      <c r="K64" s="139">
        <f t="shared" si="7"/>
        <v>1439.9999999999998</v>
      </c>
      <c r="L64" s="140">
        <f t="shared" si="32"/>
        <v>-752.66666233675005</v>
      </c>
      <c r="M64" s="140">
        <f t="shared" si="32"/>
        <v>-214.48496754790051</v>
      </c>
      <c r="N64" s="140">
        <f t="shared" si="32"/>
        <v>54.783448142720751</v>
      </c>
      <c r="O64" s="140">
        <f t="shared" si="32"/>
        <v>324.14290441921003</v>
      </c>
      <c r="P64" s="140"/>
      <c r="Q64" s="140"/>
    </row>
    <row r="65" spans="3:17" x14ac:dyDescent="0.15">
      <c r="C65" s="139">
        <f t="shared" si="33"/>
        <v>1519.9999999999998</v>
      </c>
      <c r="D65" s="140">
        <f t="shared" si="31"/>
        <v>-818.99322638094566</v>
      </c>
      <c r="E65" s="140">
        <f t="shared" si="31"/>
        <v>-1637.9864527618913</v>
      </c>
      <c r="F65" s="140">
        <f t="shared" si="31"/>
        <v>-3275.9729055237826</v>
      </c>
      <c r="G65" s="140">
        <f t="shared" si="31"/>
        <v>-6551.9458110475653</v>
      </c>
      <c r="H65" s="140"/>
      <c r="I65" s="140"/>
      <c r="K65" s="139">
        <f t="shared" si="7"/>
        <v>1519.9999999999998</v>
      </c>
      <c r="L65" s="140">
        <f t="shared" si="32"/>
        <v>-818.99322638094566</v>
      </c>
      <c r="M65" s="140">
        <f t="shared" si="32"/>
        <v>-280.4675579484819</v>
      </c>
      <c r="N65" s="140">
        <f t="shared" si="32"/>
        <v>-11.027041944988287</v>
      </c>
      <c r="O65" s="140">
        <f t="shared" si="32"/>
        <v>258.50457283208641</v>
      </c>
      <c r="P65" s="140"/>
      <c r="Q65" s="140"/>
    </row>
    <row r="66" spans="3:17" x14ac:dyDescent="0.15">
      <c r="C66" s="139">
        <f t="shared" si="33"/>
        <v>1599.9999999999998</v>
      </c>
      <c r="D66" s="140">
        <f t="shared" si="31"/>
        <v>-878.75966603603024</v>
      </c>
      <c r="E66" s="140">
        <f t="shared" si="31"/>
        <v>-1757.5193320720605</v>
      </c>
      <c r="F66" s="140">
        <f t="shared" si="31"/>
        <v>-3515.038664144121</v>
      </c>
      <c r="G66" s="140">
        <f t="shared" si="31"/>
        <v>-7030.0773282882419</v>
      </c>
      <c r="H66" s="140"/>
      <c r="I66" s="140"/>
      <c r="K66" s="139">
        <f t="shared" si="7"/>
        <v>1599.9999999999998</v>
      </c>
      <c r="L66" s="140">
        <f t="shared" si="32"/>
        <v>-878.75966603603024</v>
      </c>
      <c r="M66" s="140">
        <f t="shared" si="32"/>
        <v>-339.92404516881703</v>
      </c>
      <c r="N66" s="140">
        <f t="shared" si="32"/>
        <v>-70.328450681881876</v>
      </c>
      <c r="O66" s="140">
        <f t="shared" si="32"/>
        <v>199.35829501120867</v>
      </c>
      <c r="P66" s="140"/>
      <c r="Q66" s="140"/>
    </row>
    <row r="67" spans="3:17" x14ac:dyDescent="0.15">
      <c r="C67" s="139">
        <f t="shared" si="33"/>
        <v>1679.9999999999995</v>
      </c>
      <c r="D67" s="140">
        <f t="shared" si="31"/>
        <v>0</v>
      </c>
      <c r="E67" s="140">
        <f t="shared" si="31"/>
        <v>0</v>
      </c>
      <c r="F67" s="140">
        <f t="shared" si="31"/>
        <v>0</v>
      </c>
      <c r="G67" s="140">
        <f t="shared" si="31"/>
        <v>0</v>
      </c>
      <c r="H67" s="140"/>
      <c r="I67" s="140"/>
      <c r="K67" s="139">
        <f t="shared" si="7"/>
        <v>1679.9999999999995</v>
      </c>
      <c r="L67" s="140">
        <f>IF($C43&gt;$C$20,,MIN($C$10,($C$12-(9.8*$C43*($C$3*COS(RADIANS($L66))+SIN(RADIANS($L66)))*$C$4*$C$13/(2*$C$2)/$C$11/$C$14))*375/9.8/$B43*$L$45))</f>
        <v>0</v>
      </c>
      <c r="M67" s="140">
        <f>IF($C43&gt;$C$20,,MIN($C$10,($C$12-(9.8*$C43*($C$3*COS(RADIANS($L66))+SIN(RADIANS($L66)))*$C$4*$C$13/(2*$C$2)/$C$11/$C$14))*375/9.8/$B43*$L$45))</f>
        <v>0</v>
      </c>
      <c r="N67" s="140">
        <f>IF($C43&gt;$C$20,,MIN($C$10,($C$12-(9.8*$C43*($C$3*COS(RADIANS($L66))+SIN(RADIANS($L66)))*$C$4*$C$13/(2*$C$2)/$C$11/$C$14))*375/9.8/$B43*$L$45))</f>
        <v>0</v>
      </c>
      <c r="O67" s="140">
        <f>IF($C43&gt;$C$20,,MIN($C$10,($C$12-(9.8*$C43*($C$3*COS(RADIANS($L66))+SIN(RADIANS($L66)))*$C$4*$C$13/(2*$C$2)/$C$11/$C$14))*375/9.8/$B43*$L$45))</f>
        <v>0</v>
      </c>
      <c r="P67" s="140"/>
      <c r="Q67" s="140"/>
    </row>
  </sheetData>
  <mergeCells count="5">
    <mergeCell ref="A2:B2"/>
    <mergeCell ref="A3:B3"/>
    <mergeCell ref="A4:B4"/>
    <mergeCell ref="A5:B5"/>
    <mergeCell ref="A6:B6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車輪型式</vt:lpstr>
      <vt:lpstr>必要トルク計算書</vt:lpstr>
      <vt:lpstr>加速時間特性</vt:lpstr>
      <vt:lpstr>車輪モータの選定</vt:lpstr>
      <vt:lpstr>AWRⅡ010B</vt:lpstr>
      <vt:lpstr>車輪モータの選定!Print_Area</vt:lpstr>
    </vt:vector>
  </TitlesOfParts>
  <Company>モータ技術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ODA</dc:creator>
  <cp:lastModifiedBy>ai0024</cp:lastModifiedBy>
  <cp:lastPrinted>2021-08-17T09:18:48Z</cp:lastPrinted>
  <dcterms:created xsi:type="dcterms:W3CDTF">2009-08-04T07:07:05Z</dcterms:created>
  <dcterms:modified xsi:type="dcterms:W3CDTF">2021-09-06T00:35:37Z</dcterms:modified>
</cp:coreProperties>
</file>